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3060" yWindow="2380" windowWidth="47080" windowHeight="17880"/>
  </bookViews>
  <sheets>
    <sheet name="Simulation" sheetId="1" r:id="rId1"/>
  </sheet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1" l="1"/>
  <c r="AB11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10" i="1"/>
  <c r="AC11" i="1"/>
  <c r="AC10" i="1"/>
  <c r="AB6" i="1"/>
  <c r="AB5" i="1"/>
  <c r="AB4" i="1"/>
  <c r="AB3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H5" i="1"/>
  <c r="G4" i="1"/>
  <c r="H4" i="1"/>
  <c r="G3" i="1"/>
  <c r="H3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M38" i="1"/>
  <c r="O2" i="1"/>
  <c r="D3" i="1"/>
  <c r="D4" i="1"/>
  <c r="L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G2" i="1"/>
  <c r="H2" i="1"/>
  <c r="J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</calcChain>
</file>

<file path=xl/sharedStrings.xml><?xml version="1.0" encoding="utf-8"?>
<sst xmlns="http://schemas.openxmlformats.org/spreadsheetml/2006/main" count="27" uniqueCount="26">
  <si>
    <t>Age</t>
  </si>
  <si>
    <t>Salary</t>
  </si>
  <si>
    <t>Yearly 401K Contribution</t>
  </si>
  <si>
    <t>Employer Match</t>
  </si>
  <si>
    <t>Vanguard Balanced Index Fund</t>
  </si>
  <si>
    <t>Employer Match of Salary</t>
  </si>
  <si>
    <t>Final Balance</t>
  </si>
  <si>
    <t>Boston Trust Asset Management Fund</t>
  </si>
  <si>
    <t>Salary increase</t>
  </si>
  <si>
    <t>Expected annual return</t>
  </si>
  <si>
    <t>Annual 401K  Contribution</t>
  </si>
  <si>
    <t xml:space="preserve"> 401K Balance</t>
  </si>
  <si>
    <t>Roth IRA Balance</t>
  </si>
  <si>
    <t>Salary Increase</t>
  </si>
  <si>
    <t>Vanguard Return</t>
  </si>
  <si>
    <t>Boston Trust Return</t>
  </si>
  <si>
    <t>Average</t>
  </si>
  <si>
    <t>Standard Deviation</t>
  </si>
  <si>
    <t>Minimum</t>
  </si>
  <si>
    <t>Maximum</t>
  </si>
  <si>
    <t>Summary Statistics</t>
  </si>
  <si>
    <t>Frequency Distribution</t>
  </si>
  <si>
    <t>Cumulative Frequency</t>
  </si>
  <si>
    <t>Frequency</t>
  </si>
  <si>
    <t>Upper Cell Limit</t>
  </si>
  <si>
    <t>Retirement Planning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</si>
</sst>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E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165" fontId="2" fillId="0" borderId="3" xfId="1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Border="1"/>
    <xf numFmtId="9" fontId="3" fillId="0" borderId="0" xfId="0" applyNumberFormat="1" applyFont="1" applyFill="1" applyBorder="1"/>
    <xf numFmtId="0" fontId="2" fillId="0" borderId="5" xfId="0" applyFont="1" applyBorder="1"/>
    <xf numFmtId="6" fontId="3" fillId="0" borderId="0" xfId="0" applyNumberFormat="1" applyFont="1" applyFill="1" applyBorder="1"/>
    <xf numFmtId="164" fontId="3" fillId="0" borderId="0" xfId="0" applyNumberFormat="1" applyFont="1" applyFill="1" applyBorder="1"/>
    <xf numFmtId="10" fontId="3" fillId="0" borderId="0" xfId="2" applyNumberFormat="1" applyFont="1" applyFill="1" applyBorder="1"/>
    <xf numFmtId="0" fontId="2" fillId="0" borderId="7" xfId="0" applyFont="1" applyBorder="1"/>
    <xf numFmtId="6" fontId="3" fillId="0" borderId="1" xfId="0" applyNumberFormat="1" applyFont="1" applyFill="1" applyBorder="1"/>
    <xf numFmtId="165" fontId="3" fillId="0" borderId="0" xfId="1" applyNumberFormat="1" applyFont="1" applyFill="1"/>
    <xf numFmtId="166" fontId="3" fillId="0" borderId="0" xfId="1" applyNumberFormat="1" applyFont="1" applyFill="1" applyBorder="1"/>
    <xf numFmtId="166" fontId="3" fillId="0" borderId="6" xfId="0" applyNumberFormat="1" applyFont="1" applyFill="1" applyBorder="1"/>
    <xf numFmtId="166" fontId="2" fillId="2" borderId="8" xfId="0" applyNumberFormat="1" applyFont="1" applyFill="1" applyBorder="1"/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Border="1"/>
    <xf numFmtId="10" fontId="3" fillId="2" borderId="0" xfId="0" applyNumberFormat="1" applyFont="1" applyFill="1" applyBorder="1"/>
    <xf numFmtId="10" fontId="3" fillId="2" borderId="1" xfId="0" applyNumberFormat="1" applyFont="1" applyFill="1" applyBorder="1"/>
    <xf numFmtId="10" fontId="3" fillId="2" borderId="0" xfId="2" applyNumberFormat="1" applyFont="1" applyFill="1" applyBorder="1"/>
    <xf numFmtId="10" fontId="3" fillId="2" borderId="1" xfId="2" applyNumberFormat="1" applyFont="1" applyFill="1" applyBorder="1"/>
    <xf numFmtId="166" fontId="3" fillId="0" borderId="0" xfId="0" applyNumberFormat="1" applyFont="1"/>
    <xf numFmtId="167" fontId="3" fillId="0" borderId="0" xfId="0" applyNumberFormat="1" applyFont="1"/>
    <xf numFmtId="0" fontId="2" fillId="0" borderId="0" xfId="0" applyFont="1"/>
    <xf numFmtId="0" fontId="2" fillId="2" borderId="0" xfId="0" applyFont="1" applyFill="1"/>
    <xf numFmtId="166" fontId="3" fillId="2" borderId="0" xfId="0" applyNumberFormat="1" applyFont="1" applyFill="1"/>
    <xf numFmtId="0" fontId="3" fillId="2" borderId="0" xfId="0" applyFont="1" applyFill="1"/>
    <xf numFmtId="167" fontId="3" fillId="2" borderId="0" xfId="0" applyNumberFormat="1" applyFont="1" applyFill="1"/>
    <xf numFmtId="0" fontId="4" fillId="3" borderId="10" xfId="0" applyFont="1" applyFill="1" applyBorder="1" applyAlignment="1">
      <alignment horizontal="right"/>
    </xf>
    <xf numFmtId="164" fontId="4" fillId="3" borderId="11" xfId="2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164" fontId="4" fillId="3" borderId="6" xfId="2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164" fontId="4" fillId="3" borderId="9" xfId="2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CDECC"/>
      <color rgb="FFFCC0BA"/>
      <color rgb="FFFCA5BA"/>
      <color rgb="FFFFBD5B"/>
      <color rgb="FFFFCDFF"/>
      <color rgb="FFF97B7B"/>
      <color rgb="FFFFFF9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Simulation!$AA$10:$AA$25</c:f>
              <c:numCache>
                <c:formatCode>"$"#,##0</c:formatCode>
                <c:ptCount val="16"/>
                <c:pt idx="0">
                  <c:v>1.5E6</c:v>
                </c:pt>
                <c:pt idx="1">
                  <c:v>2.0E6</c:v>
                </c:pt>
                <c:pt idx="2">
                  <c:v>2.5E6</c:v>
                </c:pt>
                <c:pt idx="3">
                  <c:v>3.0E6</c:v>
                </c:pt>
                <c:pt idx="4">
                  <c:v>3.5E6</c:v>
                </c:pt>
                <c:pt idx="5">
                  <c:v>4.0E6</c:v>
                </c:pt>
                <c:pt idx="6">
                  <c:v>4.5E6</c:v>
                </c:pt>
                <c:pt idx="7">
                  <c:v>5.0E6</c:v>
                </c:pt>
                <c:pt idx="8">
                  <c:v>5.5E6</c:v>
                </c:pt>
                <c:pt idx="9">
                  <c:v>6.0E6</c:v>
                </c:pt>
                <c:pt idx="10">
                  <c:v>6.5E6</c:v>
                </c:pt>
                <c:pt idx="11">
                  <c:v>7.0E6</c:v>
                </c:pt>
                <c:pt idx="12">
                  <c:v>7.5E6</c:v>
                </c:pt>
                <c:pt idx="13">
                  <c:v>8.0E6</c:v>
                </c:pt>
                <c:pt idx="14">
                  <c:v>8.5E6</c:v>
                </c:pt>
                <c:pt idx="15">
                  <c:v>9.0E6</c:v>
                </c:pt>
              </c:numCache>
            </c:numRef>
          </c:cat>
          <c:val>
            <c:numRef>
              <c:f>Simulation!$AC$10:$AC$25</c:f>
              <c:numCache>
                <c:formatCode>General</c:formatCode>
                <c:ptCount val="16"/>
                <c:pt idx="0">
                  <c:v>0.0</c:v>
                </c:pt>
                <c:pt idx="1">
                  <c:v>3.0</c:v>
                </c:pt>
                <c:pt idx="2">
                  <c:v>49.0</c:v>
                </c:pt>
                <c:pt idx="3">
                  <c:v>183.0</c:v>
                </c:pt>
                <c:pt idx="4">
                  <c:v>259.0</c:v>
                </c:pt>
                <c:pt idx="5">
                  <c:v>236.0</c:v>
                </c:pt>
                <c:pt idx="6">
                  <c:v>143.0</c:v>
                </c:pt>
                <c:pt idx="7">
                  <c:v>82.0</c:v>
                </c:pt>
                <c:pt idx="8">
                  <c:v>30.0</c:v>
                </c:pt>
                <c:pt idx="9">
                  <c:v>13.0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410656"/>
        <c:axId val="474253168"/>
      </c:barChart>
      <c:catAx>
        <c:axId val="489410656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53168"/>
        <c:crosses val="autoZero"/>
        <c:auto val="1"/>
        <c:lblAlgn val="ctr"/>
        <c:lblOffset val="100"/>
        <c:noMultiLvlLbl val="0"/>
      </c:catAx>
      <c:valAx>
        <c:axId val="4742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1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298450</xdr:colOff>
      <xdr:row>1</xdr:row>
      <xdr:rowOff>6350</xdr:rowOff>
    </xdr:from>
    <xdr:to>
      <xdr:col>41</xdr:col>
      <xdr:colOff>50800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workbookViewId="0"/>
  </sheetViews>
  <sheetFormatPr baseColWidth="10" defaultColWidth="8.83203125" defaultRowHeight="16" x14ac:dyDescent="0.2"/>
  <cols>
    <col min="1" max="1" width="37.83203125" style="7" bestFit="1" customWidth="1"/>
    <col min="2" max="2" width="6.83203125" style="7" bestFit="1" customWidth="1"/>
    <col min="3" max="3" width="8.83203125" style="7"/>
    <col min="4" max="4" width="4.83203125" style="8" bestFit="1" customWidth="1"/>
    <col min="5" max="5" width="9.1640625" style="8" bestFit="1" customWidth="1"/>
    <col min="6" max="6" width="10.1640625" style="7" bestFit="1" customWidth="1"/>
    <col min="7" max="7" width="13.1640625" style="7" bestFit="1" customWidth="1"/>
    <col min="8" max="9" width="10.33203125" style="7" bestFit="1" customWidth="1"/>
    <col min="10" max="10" width="11.1640625" style="7" bestFit="1" customWidth="1"/>
    <col min="11" max="11" width="13.1640625" style="7" bestFit="1" customWidth="1"/>
    <col min="12" max="12" width="10.1640625" style="17" bestFit="1" customWidth="1"/>
    <col min="13" max="13" width="11.1640625" style="7" bestFit="1" customWidth="1"/>
    <col min="14" max="14" width="8.83203125" style="8"/>
    <col min="15" max="15" width="11.1640625" style="8" bestFit="1" customWidth="1"/>
    <col min="16" max="25" width="13.83203125" style="8" bestFit="1" customWidth="1"/>
    <col min="26" max="26" width="8.83203125" style="8"/>
    <col min="27" max="27" width="23" style="8" bestFit="1" customWidth="1"/>
    <col min="28" max="28" width="22.5" style="8" bestFit="1" customWidth="1"/>
    <col min="29" max="29" width="11.1640625" style="8" bestFit="1" customWidth="1"/>
    <col min="30" max="16384" width="8.83203125" style="8"/>
  </cols>
  <sheetData>
    <row r="1" spans="1:29" ht="34.75" customHeight="1" x14ac:dyDescent="0.2">
      <c r="A1" s="6" t="s">
        <v>25</v>
      </c>
      <c r="D1" s="1" t="s">
        <v>0</v>
      </c>
      <c r="E1" s="21" t="s">
        <v>13</v>
      </c>
      <c r="F1" s="2" t="s">
        <v>1</v>
      </c>
      <c r="G1" s="3" t="s">
        <v>10</v>
      </c>
      <c r="H1" s="3" t="s">
        <v>3</v>
      </c>
      <c r="I1" s="21" t="s">
        <v>14</v>
      </c>
      <c r="J1" s="3" t="s">
        <v>11</v>
      </c>
      <c r="K1" s="21" t="s">
        <v>15</v>
      </c>
      <c r="L1" s="4" t="s">
        <v>12</v>
      </c>
      <c r="M1" s="5" t="s">
        <v>6</v>
      </c>
    </row>
    <row r="2" spans="1:29" x14ac:dyDescent="0.2">
      <c r="A2" s="34" t="s">
        <v>2</v>
      </c>
      <c r="B2" s="35">
        <v>0.15</v>
      </c>
      <c r="C2" s="10"/>
      <c r="D2" s="11">
        <v>24</v>
      </c>
      <c r="E2" s="22"/>
      <c r="F2" s="12">
        <v>80000</v>
      </c>
      <c r="G2" s="12">
        <f t="shared" ref="G2:G38" si="0">IF(F2*$B$2&lt;18000,F2*$B$2, 18000)</f>
        <v>12000</v>
      </c>
      <c r="H2" s="12">
        <f t="shared" ref="H2:H38" si="1">F2*$B$3</f>
        <v>4000</v>
      </c>
      <c r="I2" s="25"/>
      <c r="J2" s="18">
        <f>(G2+H2)</f>
        <v>16000</v>
      </c>
      <c r="K2" s="25"/>
      <c r="L2" s="18">
        <f>IF(D2&lt;55,5500,6500)</f>
        <v>5500</v>
      </c>
      <c r="M2" s="19">
        <f>J2+L2</f>
        <v>21500</v>
      </c>
      <c r="O2" s="27">
        <f ca="1">M38</f>
        <v>3417074.6568410685</v>
      </c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8">
        <v>7</v>
      </c>
      <c r="W2" s="8">
        <v>8</v>
      </c>
      <c r="X2" s="8">
        <v>9</v>
      </c>
      <c r="Y2" s="8">
        <v>10</v>
      </c>
      <c r="AA2" s="29" t="s">
        <v>20</v>
      </c>
    </row>
    <row r="3" spans="1:29" x14ac:dyDescent="0.2">
      <c r="A3" s="36" t="s">
        <v>5</v>
      </c>
      <c r="B3" s="37">
        <v>0.05</v>
      </c>
      <c r="C3" s="13"/>
      <c r="D3" s="11">
        <f>+D2+1</f>
        <v>25</v>
      </c>
      <c r="E3" s="23">
        <f ca="1">2%+3%*RAND()</f>
        <v>4.7969440172411421E-2</v>
      </c>
      <c r="F3" s="12">
        <f ca="1">F2+E3*F2</f>
        <v>83837.555213792919</v>
      </c>
      <c r="G3" s="12">
        <f t="shared" ca="1" si="0"/>
        <v>12575.633282068937</v>
      </c>
      <c r="H3" s="12">
        <f t="shared" ca="1" si="1"/>
        <v>4191.8777606896465</v>
      </c>
      <c r="I3" s="25">
        <f t="shared" ref="I3:I38" ca="1" si="2">_xlfn.NORM.INV(RAND(),6%,6.5%)</f>
        <v>-1.7344974922984244E-2</v>
      </c>
      <c r="J3" s="18">
        <f ca="1">(G3+H3)+J2*(1+I3)</f>
        <v>32489.991443990832</v>
      </c>
      <c r="K3" s="25">
        <f t="shared" ref="K3:K38" ca="1" si="3">_xlfn.NORM.INV(RAND(),6.5%,7%)</f>
        <v>8.0599675196800363E-2</v>
      </c>
      <c r="L3" s="18">
        <f ca="1">IF(D3&lt;55,5500,6500)+(1+K3)*L2</f>
        <v>11443.298213582402</v>
      </c>
      <c r="M3" s="19">
        <f t="shared" ref="M3:M38" ca="1" si="4">J3+L3</f>
        <v>43933.28965757323</v>
      </c>
      <c r="O3" s="8">
        <v>1</v>
      </c>
      <c r="P3" s="28">
        <f t="dataTable" ref="P3:Y102" dt2D="1" dtr="1" r1="D41" r2="E41" ca="1"/>
        <v>2972612.2961830548</v>
      </c>
      <c r="Q3" s="28">
        <v>4125489.6057824362</v>
      </c>
      <c r="R3" s="28">
        <v>4797783.0979465023</v>
      </c>
      <c r="S3" s="28">
        <v>2703771.6804946512</v>
      </c>
      <c r="T3" s="28">
        <v>3514270.0026444746</v>
      </c>
      <c r="U3" s="28">
        <v>4779412.9183207629</v>
      </c>
      <c r="V3" s="28">
        <v>2682145.7396747717</v>
      </c>
      <c r="W3" s="28">
        <v>3852707.813471192</v>
      </c>
      <c r="X3" s="28">
        <v>3844107.0779807009</v>
      </c>
      <c r="Y3" s="28">
        <v>4510170.6929419553</v>
      </c>
      <c r="AA3" s="30" t="s">
        <v>16</v>
      </c>
      <c r="AB3" s="33">
        <f>AVERAGE(P3:Y102)</f>
        <v>3587194.5560230701</v>
      </c>
    </row>
    <row r="4" spans="1:29" x14ac:dyDescent="0.2">
      <c r="A4" s="36" t="s">
        <v>8</v>
      </c>
      <c r="B4" s="37">
        <v>0.04</v>
      </c>
      <c r="C4" s="10"/>
      <c r="D4" s="11">
        <f t="shared" ref="D4:D38" si="5">+D3+1</f>
        <v>26</v>
      </c>
      <c r="E4" s="23">
        <f t="shared" ref="E4:E38" ca="1" si="6">2%+3%*RAND()</f>
        <v>2.9750531444721375E-2</v>
      </c>
      <c r="F4" s="12">
        <f t="shared" ref="F4:F38" ca="1" si="7">F3+E4*F3</f>
        <v>86331.767036429432</v>
      </c>
      <c r="G4" s="12">
        <f t="shared" ca="1" si="0"/>
        <v>12949.765055464415</v>
      </c>
      <c r="H4" s="12">
        <f t="shared" ca="1" si="1"/>
        <v>4316.5883518214714</v>
      </c>
      <c r="I4" s="25">
        <f t="shared" ca="1" si="2"/>
        <v>8.9751494924406039E-6</v>
      </c>
      <c r="J4" s="18">
        <f t="shared" ref="J4:J38" ca="1" si="8">(G4+H4)+J3*(1+I4)</f>
        <v>49756.636453806932</v>
      </c>
      <c r="K4" s="25">
        <f t="shared" ca="1" si="3"/>
        <v>7.6027745031355634E-2</v>
      </c>
      <c r="L4" s="18">
        <f t="shared" ref="L4:L38" ca="1" si="9">IF(D4&lt;55,5500,6500)+(1+K4)*L3</f>
        <v>17813.30637248241</v>
      </c>
      <c r="M4" s="19">
        <f t="shared" ca="1" si="4"/>
        <v>67569.942826289334</v>
      </c>
      <c r="O4" s="8">
        <v>2</v>
      </c>
      <c r="P4" s="28">
        <v>3057747.3204960539</v>
      </c>
      <c r="Q4" s="28">
        <v>3219266.5988604268</v>
      </c>
      <c r="R4" s="28">
        <v>2723019.2739254273</v>
      </c>
      <c r="S4" s="28">
        <v>3284853.7098562885</v>
      </c>
      <c r="T4" s="28">
        <v>2259297.6122369329</v>
      </c>
      <c r="U4" s="28">
        <v>3323296.9694431024</v>
      </c>
      <c r="V4" s="28">
        <v>3800118.6154451845</v>
      </c>
      <c r="W4" s="28">
        <v>4289250.5997094763</v>
      </c>
      <c r="X4" s="28">
        <v>2849252.4863158604</v>
      </c>
      <c r="Y4" s="28">
        <v>3359736.3187292367</v>
      </c>
      <c r="AA4" s="30" t="s">
        <v>17</v>
      </c>
      <c r="AB4" s="33">
        <f>_xlfn.STDEV.S(P3:Y102)</f>
        <v>757860.19635587046</v>
      </c>
    </row>
    <row r="5" spans="1:29" x14ac:dyDescent="0.2">
      <c r="A5" s="36"/>
      <c r="B5" s="38"/>
      <c r="C5" s="9"/>
      <c r="D5" s="11">
        <f>+D4+1</f>
        <v>27</v>
      </c>
      <c r="E5" s="23">
        <f t="shared" ca="1" si="6"/>
        <v>4.2667283332434747E-2</v>
      </c>
      <c r="F5" s="12">
        <f t="shared" ca="1" si="7"/>
        <v>90015.309001162517</v>
      </c>
      <c r="G5" s="12">
        <f t="shared" ca="1" si="0"/>
        <v>13502.296350174378</v>
      </c>
      <c r="H5" s="12">
        <f t="shared" ca="1" si="1"/>
        <v>4500.7654500581257</v>
      </c>
      <c r="I5" s="25">
        <f t="shared" ca="1" si="2"/>
        <v>5.9440129236707308E-2</v>
      </c>
      <c r="J5" s="18">
        <f t="shared" ca="1" si="8"/>
        <v>70717.239155237578</v>
      </c>
      <c r="K5" s="25">
        <f t="shared" ca="1" si="3"/>
        <v>6.9588158092010938E-2</v>
      </c>
      <c r="L5" s="18">
        <f t="shared" ca="1" si="9"/>
        <v>24552.901552472144</v>
      </c>
      <c r="M5" s="19">
        <f t="shared" ca="1" si="4"/>
        <v>95270.140707709725</v>
      </c>
      <c r="O5" s="8">
        <v>3</v>
      </c>
      <c r="P5" s="28">
        <v>2769131.6376793473</v>
      </c>
      <c r="Q5" s="28">
        <v>5093121.810941413</v>
      </c>
      <c r="R5" s="28">
        <v>2654622.5244498122</v>
      </c>
      <c r="S5" s="28">
        <v>3924632.1204556925</v>
      </c>
      <c r="T5" s="28">
        <v>3029786.71851198</v>
      </c>
      <c r="U5" s="28">
        <v>3524913.1505776187</v>
      </c>
      <c r="V5" s="28">
        <v>3390938.9598864866</v>
      </c>
      <c r="W5" s="28">
        <v>2616131.5163734849</v>
      </c>
      <c r="X5" s="28">
        <v>2324308.435438294</v>
      </c>
      <c r="Y5" s="28">
        <v>2844006.2536331974</v>
      </c>
      <c r="AA5" s="30" t="s">
        <v>18</v>
      </c>
      <c r="AB5" s="33">
        <f>MIN(P3:Y102)</f>
        <v>1851529.413252393</v>
      </c>
    </row>
    <row r="6" spans="1:29" x14ac:dyDescent="0.2">
      <c r="A6" s="36" t="s">
        <v>4</v>
      </c>
      <c r="B6" s="38"/>
      <c r="C6" s="9"/>
      <c r="D6" s="11">
        <f t="shared" si="5"/>
        <v>28</v>
      </c>
      <c r="E6" s="23">
        <f t="shared" ca="1" si="6"/>
        <v>4.0334963550394551E-2</v>
      </c>
      <c r="F6" s="12">
        <f t="shared" ca="1" si="7"/>
        <v>93646.073208701913</v>
      </c>
      <c r="G6" s="12">
        <f t="shared" ca="1" si="0"/>
        <v>14046.910981305287</v>
      </c>
      <c r="H6" s="12">
        <f t="shared" ca="1" si="1"/>
        <v>4682.3036604350955</v>
      </c>
      <c r="I6" s="25">
        <f t="shared" ca="1" si="2"/>
        <v>-6.4576122801348099E-2</v>
      </c>
      <c r="J6" s="18">
        <f t="shared" ca="1" si="8"/>
        <v>84879.808677117049</v>
      </c>
      <c r="K6" s="25">
        <f t="shared" ca="1" si="3"/>
        <v>0.28401808239113679</v>
      </c>
      <c r="L6" s="18">
        <f t="shared" ca="1" si="9"/>
        <v>37026.36956854364</v>
      </c>
      <c r="M6" s="19">
        <f t="shared" ca="1" si="4"/>
        <v>121906.17824566069</v>
      </c>
      <c r="O6" s="8">
        <v>4</v>
      </c>
      <c r="P6" s="28">
        <v>2723876.7896417249</v>
      </c>
      <c r="Q6" s="28">
        <v>2820133.1558742519</v>
      </c>
      <c r="R6" s="28">
        <v>4399788.8804103015</v>
      </c>
      <c r="S6" s="28">
        <v>4425761.5294616986</v>
      </c>
      <c r="T6" s="28">
        <v>3268764.1807067585</v>
      </c>
      <c r="U6" s="28">
        <v>4342841.5970170861</v>
      </c>
      <c r="V6" s="28">
        <v>5161633.2261107406</v>
      </c>
      <c r="W6" s="28">
        <v>2962830.1858807728</v>
      </c>
      <c r="X6" s="28">
        <v>2796172.1924651982</v>
      </c>
      <c r="Y6" s="28">
        <v>4414897.509163144</v>
      </c>
      <c r="AA6" s="30" t="s">
        <v>19</v>
      </c>
      <c r="AB6" s="33">
        <f>MAX(P3:Y102)</f>
        <v>6338890.199750673</v>
      </c>
    </row>
    <row r="7" spans="1:29" x14ac:dyDescent="0.2">
      <c r="A7" s="36" t="s">
        <v>9</v>
      </c>
      <c r="B7" s="37">
        <v>0.06</v>
      </c>
      <c r="C7" s="14"/>
      <c r="D7" s="11">
        <f t="shared" si="5"/>
        <v>29</v>
      </c>
      <c r="E7" s="23">
        <f t="shared" ca="1" si="6"/>
        <v>2.415924267151591E-2</v>
      </c>
      <c r="F7" s="12">
        <f t="shared" ca="1" si="7"/>
        <v>95908.491416585486</v>
      </c>
      <c r="G7" s="12">
        <f t="shared" ca="1" si="0"/>
        <v>14386.273712487822</v>
      </c>
      <c r="H7" s="12">
        <f t="shared" ca="1" si="1"/>
        <v>4795.4245708292747</v>
      </c>
      <c r="I7" s="25">
        <f t="shared" ca="1" si="2"/>
        <v>-6.7059330687388452E-4</v>
      </c>
      <c r="J7" s="18">
        <f t="shared" ca="1" si="8"/>
        <v>104004.58712884653</v>
      </c>
      <c r="K7" s="25">
        <f t="shared" ca="1" si="3"/>
        <v>1.5636308317999253E-2</v>
      </c>
      <c r="L7" s="18">
        <f t="shared" ca="1" si="9"/>
        <v>43105.325299013573</v>
      </c>
      <c r="M7" s="19">
        <f t="shared" ca="1" si="4"/>
        <v>147109.91242786011</v>
      </c>
      <c r="O7" s="8">
        <v>5</v>
      </c>
      <c r="P7" s="28">
        <v>3436156.8381188256</v>
      </c>
      <c r="Q7" s="28">
        <v>4701085.1373171601</v>
      </c>
      <c r="R7" s="28">
        <v>3066694.6203849385</v>
      </c>
      <c r="S7" s="28">
        <v>2846726.3430677075</v>
      </c>
      <c r="T7" s="28">
        <v>3398339.9020609357</v>
      </c>
      <c r="U7" s="28">
        <v>4726058.8621352902</v>
      </c>
      <c r="V7" s="28">
        <v>4393709.8721370753</v>
      </c>
      <c r="W7" s="28">
        <v>3173826.5307412422</v>
      </c>
      <c r="X7" s="28">
        <v>3393236.9022005619</v>
      </c>
      <c r="Y7" s="28">
        <v>3860802.6150985239</v>
      </c>
    </row>
    <row r="8" spans="1:29" x14ac:dyDescent="0.2">
      <c r="A8" s="36"/>
      <c r="B8" s="38"/>
      <c r="C8" s="14"/>
      <c r="D8" s="11">
        <f t="shared" si="5"/>
        <v>30</v>
      </c>
      <c r="E8" s="23">
        <f t="shared" ca="1" si="6"/>
        <v>4.0036571415085195E-2</v>
      </c>
      <c r="F8" s="12">
        <f t="shared" ca="1" si="7"/>
        <v>99748.338582498691</v>
      </c>
      <c r="G8" s="12">
        <f t="shared" ca="1" si="0"/>
        <v>14962.250787374804</v>
      </c>
      <c r="H8" s="12">
        <f t="shared" ca="1" si="1"/>
        <v>4987.4169291249345</v>
      </c>
      <c r="I8" s="25">
        <f t="shared" ca="1" si="2"/>
        <v>-2.4583097650964503E-3</v>
      </c>
      <c r="J8" s="18">
        <f t="shared" ca="1" si="8"/>
        <v>123698.5793531926</v>
      </c>
      <c r="K8" s="25">
        <f t="shared" ca="1" si="3"/>
        <v>0.177566282778305</v>
      </c>
      <c r="L8" s="18">
        <f t="shared" ca="1" si="9"/>
        <v>56259.377680309037</v>
      </c>
      <c r="M8" s="19">
        <f t="shared" ca="1" si="4"/>
        <v>179957.95703350165</v>
      </c>
      <c r="O8" s="8">
        <v>6</v>
      </c>
      <c r="P8" s="28">
        <v>4642910.5487860991</v>
      </c>
      <c r="Q8" s="28">
        <v>3387098.8398775458</v>
      </c>
      <c r="R8" s="28">
        <v>3873594.9143399037</v>
      </c>
      <c r="S8" s="28">
        <v>3469364.9376407359</v>
      </c>
      <c r="T8" s="28">
        <v>3601006.5705819856</v>
      </c>
      <c r="U8" s="28">
        <v>3279704.7159885704</v>
      </c>
      <c r="V8" s="28">
        <v>4502853.4639172461</v>
      </c>
      <c r="W8" s="28">
        <v>3080111.905286321</v>
      </c>
      <c r="X8" s="28">
        <v>2750442.9372167769</v>
      </c>
      <c r="Y8" s="28">
        <v>2163172.2781902347</v>
      </c>
      <c r="AA8" s="30" t="s">
        <v>21</v>
      </c>
    </row>
    <row r="9" spans="1:29" x14ac:dyDescent="0.2">
      <c r="A9" s="36" t="s">
        <v>7</v>
      </c>
      <c r="B9" s="38"/>
      <c r="C9" s="9"/>
      <c r="D9" s="11">
        <f t="shared" si="5"/>
        <v>31</v>
      </c>
      <c r="E9" s="23">
        <f t="shared" ca="1" si="6"/>
        <v>3.5674202268263726E-2</v>
      </c>
      <c r="F9" s="12">
        <f t="shared" ca="1" si="7"/>
        <v>103306.78098901401</v>
      </c>
      <c r="G9" s="12">
        <f t="shared" ca="1" si="0"/>
        <v>15496.017148352101</v>
      </c>
      <c r="H9" s="12">
        <f t="shared" ca="1" si="1"/>
        <v>5165.3390494507003</v>
      </c>
      <c r="I9" s="25">
        <f t="shared" ca="1" si="2"/>
        <v>7.721675261806743E-2</v>
      </c>
      <c r="J9" s="18">
        <f t="shared" ca="1" si="8"/>
        <v>153911.53815211728</v>
      </c>
      <c r="K9" s="25">
        <f t="shared" ca="1" si="3"/>
        <v>-1.7300792998863876E-2</v>
      </c>
      <c r="L9" s="18">
        <f t="shared" ca="1" si="9"/>
        <v>60786.045832817108</v>
      </c>
      <c r="M9" s="19">
        <f t="shared" ca="1" si="4"/>
        <v>214697.58398493438</v>
      </c>
      <c r="O9" s="8">
        <v>7</v>
      </c>
      <c r="P9" s="28">
        <v>3598555.0848683417</v>
      </c>
      <c r="Q9" s="28">
        <v>5684821.0450439248</v>
      </c>
      <c r="R9" s="28">
        <v>3841224.954209114</v>
      </c>
      <c r="S9" s="28">
        <v>3677723.2871510796</v>
      </c>
      <c r="T9" s="28">
        <v>3411599.6909422111</v>
      </c>
      <c r="U9" s="28">
        <v>3429350.9463136457</v>
      </c>
      <c r="V9" s="28">
        <v>4639879.3717571199</v>
      </c>
      <c r="W9" s="28">
        <v>2947605.365533784</v>
      </c>
      <c r="X9" s="28">
        <v>2798555.4911343353</v>
      </c>
      <c r="Y9" s="28">
        <v>3611197.8063279469</v>
      </c>
      <c r="AA9" s="30" t="s">
        <v>24</v>
      </c>
      <c r="AB9" s="30" t="s">
        <v>22</v>
      </c>
      <c r="AC9" s="30" t="s">
        <v>23</v>
      </c>
    </row>
    <row r="10" spans="1:29" x14ac:dyDescent="0.2">
      <c r="A10" s="39" t="s">
        <v>9</v>
      </c>
      <c r="B10" s="40">
        <v>6.5000000000000002E-2</v>
      </c>
      <c r="C10" s="9"/>
      <c r="D10" s="11">
        <f t="shared" si="5"/>
        <v>32</v>
      </c>
      <c r="E10" s="23">
        <f t="shared" ca="1" si="6"/>
        <v>4.5604060197457622E-2</v>
      </c>
      <c r="F10" s="12">
        <f t="shared" ca="1" si="7"/>
        <v>108017.98964804257</v>
      </c>
      <c r="G10" s="12">
        <f t="shared" ca="1" si="0"/>
        <v>16202.698447206385</v>
      </c>
      <c r="H10" s="12">
        <f t="shared" ca="1" si="1"/>
        <v>5400.8994824021283</v>
      </c>
      <c r="I10" s="25">
        <f t="shared" ca="1" si="2"/>
        <v>3.4117629546632153E-2</v>
      </c>
      <c r="J10" s="18">
        <f t="shared" ca="1" si="8"/>
        <v>180766.23292335207</v>
      </c>
      <c r="K10" s="25">
        <f t="shared" ca="1" si="3"/>
        <v>0.17607918309500559</v>
      </c>
      <c r="L10" s="18">
        <f t="shared" ca="1" si="9"/>
        <v>76989.203126635111</v>
      </c>
      <c r="M10" s="19">
        <f t="shared" ca="1" si="4"/>
        <v>257755.43604998718</v>
      </c>
      <c r="O10" s="8">
        <v>8</v>
      </c>
      <c r="P10" s="28">
        <v>2703124.443327087</v>
      </c>
      <c r="Q10" s="28">
        <v>3312924.6548261717</v>
      </c>
      <c r="R10" s="28">
        <v>3924574.2841503066</v>
      </c>
      <c r="S10" s="28">
        <v>3264019.9602684183</v>
      </c>
      <c r="T10" s="28">
        <v>4034926.5784098511</v>
      </c>
      <c r="U10" s="28">
        <v>3638393.9296575426</v>
      </c>
      <c r="V10" s="28">
        <v>4872441.9131039381</v>
      </c>
      <c r="W10" s="28">
        <v>4345954.7897405159</v>
      </c>
      <c r="X10" s="28">
        <v>2807696.0949686673</v>
      </c>
      <c r="Y10" s="28">
        <v>5811100.6560760187</v>
      </c>
      <c r="AA10" s="31">
        <v>1500000</v>
      </c>
      <c r="AB10" s="32">
        <f>COUNTIF($P$3:$Y$102,"&lt;=1500000")</f>
        <v>0</v>
      </c>
      <c r="AC10" s="32">
        <f>AB10</f>
        <v>0</v>
      </c>
    </row>
    <row r="11" spans="1:29" x14ac:dyDescent="0.2">
      <c r="C11" s="14"/>
      <c r="D11" s="11">
        <f t="shared" si="5"/>
        <v>33</v>
      </c>
      <c r="E11" s="23">
        <f t="shared" ca="1" si="6"/>
        <v>2.9827889275377849E-2</v>
      </c>
      <c r="F11" s="12">
        <f t="shared" ca="1" si="7"/>
        <v>111239.9382830133</v>
      </c>
      <c r="G11" s="12">
        <f t="shared" ca="1" si="0"/>
        <v>16685.990742451995</v>
      </c>
      <c r="H11" s="12">
        <f t="shared" ca="1" si="1"/>
        <v>5561.9969141506654</v>
      </c>
      <c r="I11" s="25">
        <f t="shared" ca="1" si="2"/>
        <v>-7.74315064650129E-2</v>
      </c>
      <c r="J11" s="18">
        <f t="shared" ca="1" si="8"/>
        <v>189017.21884669419</v>
      </c>
      <c r="K11" s="25">
        <f t="shared" ca="1" si="3"/>
        <v>0.12546228464154488</v>
      </c>
      <c r="L11" s="18">
        <f t="shared" ca="1" si="9"/>
        <v>92148.444443634726</v>
      </c>
      <c r="M11" s="19">
        <f t="shared" ca="1" si="4"/>
        <v>281165.66329032893</v>
      </c>
      <c r="O11" s="8">
        <v>9</v>
      </c>
      <c r="P11" s="28">
        <v>3906544.3467103248</v>
      </c>
      <c r="Q11" s="28">
        <v>4013895.3506873683</v>
      </c>
      <c r="R11" s="28">
        <v>2440240.2789263977</v>
      </c>
      <c r="S11" s="28">
        <v>2891771.571341116</v>
      </c>
      <c r="T11" s="28">
        <v>2770552.2782151937</v>
      </c>
      <c r="U11" s="28">
        <v>3128537.7877752967</v>
      </c>
      <c r="V11" s="28">
        <v>4274633.7995650824</v>
      </c>
      <c r="W11" s="28">
        <v>4770789.316833009</v>
      </c>
      <c r="X11" s="28">
        <v>3202082.5402797069</v>
      </c>
      <c r="Y11" s="28">
        <v>4130254.0500186244</v>
      </c>
      <c r="AA11" s="31">
        <v>2000000</v>
      </c>
      <c r="AB11" s="32">
        <f>COUNTIF($P$3:$Y$102,"&lt;=2000000")</f>
        <v>3</v>
      </c>
      <c r="AC11" s="32">
        <f>AB11-AB10</f>
        <v>3</v>
      </c>
    </row>
    <row r="12" spans="1:29" x14ac:dyDescent="0.2">
      <c r="D12" s="11">
        <f t="shared" si="5"/>
        <v>34</v>
      </c>
      <c r="E12" s="23">
        <f t="shared" ca="1" si="6"/>
        <v>3.903555584829442E-2</v>
      </c>
      <c r="F12" s="12">
        <f t="shared" ca="1" si="7"/>
        <v>115582.25110642069</v>
      </c>
      <c r="G12" s="12">
        <f t="shared" ca="1" si="0"/>
        <v>17337.337665963103</v>
      </c>
      <c r="H12" s="12">
        <f t="shared" ca="1" si="1"/>
        <v>5779.112555321035</v>
      </c>
      <c r="I12" s="25">
        <f t="shared" ca="1" si="2"/>
        <v>0.12106096740756728</v>
      </c>
      <c r="J12" s="18">
        <f t="shared" ca="1" si="8"/>
        <v>235016.276438247</v>
      </c>
      <c r="K12" s="25">
        <f t="shared" ca="1" si="3"/>
        <v>1.762056627240511E-2</v>
      </c>
      <c r="L12" s="18">
        <f t="shared" ca="1" si="9"/>
        <v>99272.152215852839</v>
      </c>
      <c r="M12" s="19">
        <f t="shared" ca="1" si="4"/>
        <v>334288.42865409981</v>
      </c>
      <c r="O12" s="8">
        <v>10</v>
      </c>
      <c r="P12" s="28">
        <v>3124797.5355451982</v>
      </c>
      <c r="Q12" s="28">
        <v>4448443.2708336338</v>
      </c>
      <c r="R12" s="28">
        <v>3568510.2883400712</v>
      </c>
      <c r="S12" s="28">
        <v>3211756.1367974775</v>
      </c>
      <c r="T12" s="28">
        <v>3867210.0214777431</v>
      </c>
      <c r="U12" s="28">
        <v>2697401.2318496672</v>
      </c>
      <c r="V12" s="28">
        <v>2962349.9635535073</v>
      </c>
      <c r="W12" s="28">
        <v>3763642.6324617304</v>
      </c>
      <c r="X12" s="28">
        <v>4573512.2438356662</v>
      </c>
      <c r="Y12" s="28">
        <v>4224896.4650519732</v>
      </c>
      <c r="AA12" s="31">
        <v>2500000</v>
      </c>
      <c r="AB12" s="32">
        <f>COUNTIF($P$3:$Y$102,"&lt;=2500000")</f>
        <v>52</v>
      </c>
      <c r="AC12" s="32">
        <f t="shared" ref="AC12:AC25" si="10">AB12-AB11</f>
        <v>49</v>
      </c>
    </row>
    <row r="13" spans="1:29" x14ac:dyDescent="0.2">
      <c r="D13" s="11">
        <f t="shared" si="5"/>
        <v>35</v>
      </c>
      <c r="E13" s="23">
        <f t="shared" ca="1" si="6"/>
        <v>4.5794036811868791E-2</v>
      </c>
      <c r="F13" s="12">
        <f t="shared" ca="1" si="7"/>
        <v>120875.22896838679</v>
      </c>
      <c r="G13" s="12">
        <f t="shared" ca="1" si="0"/>
        <v>18000</v>
      </c>
      <c r="H13" s="12">
        <f t="shared" ca="1" si="1"/>
        <v>6043.76144841934</v>
      </c>
      <c r="I13" s="25">
        <f t="shared" ca="1" si="2"/>
        <v>-3.7775131293523209E-2</v>
      </c>
      <c r="J13" s="18">
        <f t="shared" ca="1" si="8"/>
        <v>250182.26718809662</v>
      </c>
      <c r="K13" s="25">
        <f t="shared" ca="1" si="3"/>
        <v>-4.8411555174096843E-3</v>
      </c>
      <c r="L13" s="18">
        <f t="shared" ca="1" si="9"/>
        <v>104291.56028842792</v>
      </c>
      <c r="M13" s="19">
        <f t="shared" ca="1" si="4"/>
        <v>354473.82747652452</v>
      </c>
      <c r="O13" s="8">
        <v>11</v>
      </c>
      <c r="P13" s="28">
        <v>2027270.5909336151</v>
      </c>
      <c r="Q13" s="28">
        <v>4321391.9793968163</v>
      </c>
      <c r="R13" s="28">
        <v>5339855.8921623612</v>
      </c>
      <c r="S13" s="28">
        <v>4134674.1324025113</v>
      </c>
      <c r="T13" s="28">
        <v>3109197.8170159929</v>
      </c>
      <c r="U13" s="28">
        <v>2793533.2964289286</v>
      </c>
      <c r="V13" s="28">
        <v>4858375.2316104518</v>
      </c>
      <c r="W13" s="28">
        <v>4873869.4548449842</v>
      </c>
      <c r="X13" s="28">
        <v>4656115.8026786484</v>
      </c>
      <c r="Y13" s="28">
        <v>3042526.5060185771</v>
      </c>
      <c r="AA13" s="31">
        <v>3000000</v>
      </c>
      <c r="AB13" s="32">
        <f>COUNTIF($P$3:$Y$102,"&lt;=3000000")</f>
        <v>235</v>
      </c>
      <c r="AC13" s="32">
        <f t="shared" si="10"/>
        <v>183</v>
      </c>
    </row>
    <row r="14" spans="1:29" x14ac:dyDescent="0.2">
      <c r="A14" s="9"/>
      <c r="D14" s="11">
        <f t="shared" si="5"/>
        <v>36</v>
      </c>
      <c r="E14" s="23">
        <f t="shared" ca="1" si="6"/>
        <v>2.9511417531758698E-2</v>
      </c>
      <c r="F14" s="12">
        <f t="shared" ca="1" si="7"/>
        <v>124442.42831971978</v>
      </c>
      <c r="G14" s="12">
        <f t="shared" ca="1" si="0"/>
        <v>18000</v>
      </c>
      <c r="H14" s="12">
        <f t="shared" ca="1" si="1"/>
        <v>6222.1214159859892</v>
      </c>
      <c r="I14" s="25">
        <f t="shared" ca="1" si="2"/>
        <v>0.1357473666054379</v>
      </c>
      <c r="J14" s="18">
        <f t="shared" ca="1" si="8"/>
        <v>308365.97254624474</v>
      </c>
      <c r="K14" s="25">
        <f t="shared" ca="1" si="3"/>
        <v>-9.9818995682635636E-3</v>
      </c>
      <c r="L14" s="18">
        <f t="shared" ca="1" si="9"/>
        <v>108750.53240781133</v>
      </c>
      <c r="M14" s="19">
        <f t="shared" ca="1" si="4"/>
        <v>417116.50495405606</v>
      </c>
      <c r="O14" s="8">
        <v>12</v>
      </c>
      <c r="P14" s="28">
        <v>2502910.9297463009</v>
      </c>
      <c r="Q14" s="28">
        <v>4453070.3320179675</v>
      </c>
      <c r="R14" s="28">
        <v>4036897.4334853967</v>
      </c>
      <c r="S14" s="28">
        <v>4409795.7393638268</v>
      </c>
      <c r="T14" s="28">
        <v>3013735.1939124875</v>
      </c>
      <c r="U14" s="28">
        <v>2575630.2118046009</v>
      </c>
      <c r="V14" s="28">
        <v>2853357.507374146</v>
      </c>
      <c r="W14" s="28">
        <v>3383240.601802188</v>
      </c>
      <c r="X14" s="28">
        <v>4511415.439872778</v>
      </c>
      <c r="Y14" s="28">
        <v>4638304.8792249374</v>
      </c>
      <c r="AA14" s="31">
        <v>3500000</v>
      </c>
      <c r="AB14" s="32">
        <f>COUNTIF($P$3:$Y$102,"&lt;=3500000")</f>
        <v>494</v>
      </c>
      <c r="AC14" s="32">
        <f t="shared" si="10"/>
        <v>259</v>
      </c>
    </row>
    <row r="15" spans="1:29" x14ac:dyDescent="0.2">
      <c r="A15" s="9"/>
      <c r="D15" s="11">
        <f t="shared" si="5"/>
        <v>37</v>
      </c>
      <c r="E15" s="23">
        <f t="shared" ca="1" si="6"/>
        <v>4.7335150776091031E-2</v>
      </c>
      <c r="F15" s="12">
        <f t="shared" ca="1" si="7"/>
        <v>130332.92942717661</v>
      </c>
      <c r="G15" s="12">
        <f t="shared" ca="1" si="0"/>
        <v>18000</v>
      </c>
      <c r="H15" s="12">
        <f t="shared" ca="1" si="1"/>
        <v>6516.6464713588311</v>
      </c>
      <c r="I15" s="25">
        <f t="shared" ca="1" si="2"/>
        <v>-4.1291632698369607E-2</v>
      </c>
      <c r="J15" s="18">
        <f t="shared" ca="1" si="8"/>
        <v>320149.68454254849</v>
      </c>
      <c r="K15" s="25">
        <f t="shared" ca="1" si="3"/>
        <v>-9.0250444612603536E-2</v>
      </c>
      <c r="L15" s="18">
        <f t="shared" ca="1" si="9"/>
        <v>104435.748506149</v>
      </c>
      <c r="M15" s="19">
        <f t="shared" ca="1" si="4"/>
        <v>424585.43304869748</v>
      </c>
      <c r="O15" s="8">
        <v>13</v>
      </c>
      <c r="P15" s="28">
        <v>3691331.0848069759</v>
      </c>
      <c r="Q15" s="28">
        <v>4031047.7946858052</v>
      </c>
      <c r="R15" s="28">
        <v>3084154.0796008124</v>
      </c>
      <c r="S15" s="28">
        <v>2623137.8370702425</v>
      </c>
      <c r="T15" s="28">
        <v>2969586.7082929071</v>
      </c>
      <c r="U15" s="28">
        <v>2739311.9307939894</v>
      </c>
      <c r="V15" s="28">
        <v>3088927.6396551565</v>
      </c>
      <c r="W15" s="28">
        <v>3015923.6835480048</v>
      </c>
      <c r="X15" s="28">
        <v>3431540.6099285684</v>
      </c>
      <c r="Y15" s="28">
        <v>3343331.2027060995</v>
      </c>
      <c r="AA15" s="31">
        <v>4000000</v>
      </c>
      <c r="AB15" s="32">
        <f>COUNTIF($P$3:$Y$102,"&lt;=4000000")</f>
        <v>730</v>
      </c>
      <c r="AC15" s="32">
        <f t="shared" si="10"/>
        <v>236</v>
      </c>
    </row>
    <row r="16" spans="1:29" x14ac:dyDescent="0.2">
      <c r="A16" s="9"/>
      <c r="B16" s="14"/>
      <c r="C16" s="14"/>
      <c r="D16" s="11">
        <f t="shared" si="5"/>
        <v>38</v>
      </c>
      <c r="E16" s="23">
        <f t="shared" ca="1" si="6"/>
        <v>2.6622902251744872E-2</v>
      </c>
      <c r="F16" s="12">
        <f t="shared" ca="1" si="7"/>
        <v>133802.7702674999</v>
      </c>
      <c r="G16" s="12">
        <f t="shared" ca="1" si="0"/>
        <v>18000</v>
      </c>
      <c r="H16" s="12">
        <f t="shared" ca="1" si="1"/>
        <v>6690.1385133749955</v>
      </c>
      <c r="I16" s="25">
        <f t="shared" ca="1" si="2"/>
        <v>5.8727942722542018E-2</v>
      </c>
      <c r="J16" s="18">
        <f t="shared" ca="1" si="8"/>
        <v>363641.55539237818</v>
      </c>
      <c r="K16" s="25">
        <f t="shared" ca="1" si="3"/>
        <v>0.16435014530717551</v>
      </c>
      <c r="L16" s="18">
        <f t="shared" ca="1" si="9"/>
        <v>127099.77894839822</v>
      </c>
      <c r="M16" s="19">
        <f t="shared" ca="1" si="4"/>
        <v>490741.33434077643</v>
      </c>
      <c r="O16" s="8">
        <v>14</v>
      </c>
      <c r="P16" s="28">
        <v>4430810.1074036304</v>
      </c>
      <c r="Q16" s="28">
        <v>2788845.7759044105</v>
      </c>
      <c r="R16" s="28">
        <v>3011986.2050262704</v>
      </c>
      <c r="S16" s="28">
        <v>4580524.3830124242</v>
      </c>
      <c r="T16" s="28">
        <v>4425752.295341989</v>
      </c>
      <c r="U16" s="28">
        <v>3534697.7098814505</v>
      </c>
      <c r="V16" s="28">
        <v>3555401.4013661877</v>
      </c>
      <c r="W16" s="28">
        <v>1949351.757804736</v>
      </c>
      <c r="X16" s="28">
        <v>4047512.9762899899</v>
      </c>
      <c r="Y16" s="28">
        <v>3131459.7730548531</v>
      </c>
      <c r="AA16" s="31">
        <v>4500000</v>
      </c>
      <c r="AB16" s="32">
        <f>COUNTIF($P$3:$Y$102,"&lt;=4500000")</f>
        <v>873</v>
      </c>
      <c r="AC16" s="32">
        <f t="shared" si="10"/>
        <v>143</v>
      </c>
    </row>
    <row r="17" spans="1:29" x14ac:dyDescent="0.2">
      <c r="A17" s="9"/>
      <c r="B17" s="9"/>
      <c r="C17" s="9"/>
      <c r="D17" s="11">
        <f>+D16+1</f>
        <v>39</v>
      </c>
      <c r="E17" s="23">
        <f t="shared" ca="1" si="6"/>
        <v>2.9743479719472669E-2</v>
      </c>
      <c r="F17" s="12">
        <f t="shared" ca="1" si="7"/>
        <v>137782.53025136056</v>
      </c>
      <c r="G17" s="12">
        <f t="shared" ca="1" si="0"/>
        <v>18000</v>
      </c>
      <c r="H17" s="12">
        <f t="shared" ca="1" si="1"/>
        <v>6889.1265125680284</v>
      </c>
      <c r="I17" s="25">
        <f t="shared" ca="1" si="2"/>
        <v>2.1058813277807183E-2</v>
      </c>
      <c r="J17" s="18">
        <f t="shared" ca="1" si="8"/>
        <v>396188.54152000567</v>
      </c>
      <c r="K17" s="25">
        <f t="shared" ca="1" si="3"/>
        <v>-1.506059817575553E-3</v>
      </c>
      <c r="L17" s="18">
        <f t="shared" ca="1" si="9"/>
        <v>132408.35907850129</v>
      </c>
      <c r="M17" s="19">
        <f t="shared" ca="1" si="4"/>
        <v>528596.90059850691</v>
      </c>
      <c r="O17" s="8">
        <v>15</v>
      </c>
      <c r="P17" s="28">
        <v>3080952.8654552056</v>
      </c>
      <c r="Q17" s="28">
        <v>5474737.3371627573</v>
      </c>
      <c r="R17" s="28">
        <v>3124451.2619883427</v>
      </c>
      <c r="S17" s="28">
        <v>3275727.5278470735</v>
      </c>
      <c r="T17" s="28">
        <v>3269473.304405801</v>
      </c>
      <c r="U17" s="28">
        <v>3698201.6279490404</v>
      </c>
      <c r="V17" s="28">
        <v>3300647.4231635574</v>
      </c>
      <c r="W17" s="28">
        <v>4172035.649488043</v>
      </c>
      <c r="X17" s="28">
        <v>3396487.1891586287</v>
      </c>
      <c r="Y17" s="28">
        <v>2126610.7555109831</v>
      </c>
      <c r="AA17" s="31">
        <v>5000000</v>
      </c>
      <c r="AB17" s="32">
        <f>COUNTIF($P$3:$Y$102,"&lt;=5000000")</f>
        <v>955</v>
      </c>
      <c r="AC17" s="32">
        <f t="shared" si="10"/>
        <v>82</v>
      </c>
    </row>
    <row r="18" spans="1:29" x14ac:dyDescent="0.2">
      <c r="A18" s="9"/>
      <c r="B18" s="9"/>
      <c r="C18" s="9"/>
      <c r="D18" s="11">
        <f t="shared" si="5"/>
        <v>40</v>
      </c>
      <c r="E18" s="23">
        <f t="shared" ca="1" si="6"/>
        <v>2.0945031839824737E-2</v>
      </c>
      <c r="F18" s="12">
        <f t="shared" ca="1" si="7"/>
        <v>140668.38973444692</v>
      </c>
      <c r="G18" s="12">
        <f t="shared" ca="1" si="0"/>
        <v>18000</v>
      </c>
      <c r="H18" s="12">
        <f t="shared" ca="1" si="1"/>
        <v>7033.4194867223459</v>
      </c>
      <c r="I18" s="25">
        <f t="shared" ca="1" si="2"/>
        <v>1.6015759992504056E-2</v>
      </c>
      <c r="J18" s="18">
        <f t="shared" ca="1" si="8"/>
        <v>427567.22159949265</v>
      </c>
      <c r="K18" s="25">
        <f t="shared" ca="1" si="3"/>
        <v>-3.4799894532714051E-2</v>
      </c>
      <c r="L18" s="18">
        <f t="shared" ca="1" si="9"/>
        <v>133300.56214731972</v>
      </c>
      <c r="M18" s="19">
        <f t="shared" ca="1" si="4"/>
        <v>560867.78374681238</v>
      </c>
      <c r="O18" s="8">
        <v>16</v>
      </c>
      <c r="P18" s="28">
        <v>3169820.4646600261</v>
      </c>
      <c r="Q18" s="28">
        <v>3654250.6256215549</v>
      </c>
      <c r="R18" s="28">
        <v>3216674.6457934929</v>
      </c>
      <c r="S18" s="28">
        <v>3434165.0589930816</v>
      </c>
      <c r="T18" s="28">
        <v>4153572.835349598</v>
      </c>
      <c r="U18" s="28">
        <v>4361499.7451537354</v>
      </c>
      <c r="V18" s="28">
        <v>3400660.4867642443</v>
      </c>
      <c r="W18" s="28">
        <v>4788670.8806090401</v>
      </c>
      <c r="X18" s="28">
        <v>2691816.5330098565</v>
      </c>
      <c r="Y18" s="28">
        <v>3995328.2446795483</v>
      </c>
      <c r="AA18" s="31">
        <v>5500000</v>
      </c>
      <c r="AB18" s="32">
        <f>COUNTIF($P$3:$Y$102,"&lt;=5500000")</f>
        <v>985</v>
      </c>
      <c r="AC18" s="32">
        <f t="shared" si="10"/>
        <v>30</v>
      </c>
    </row>
    <row r="19" spans="1:29" x14ac:dyDescent="0.2">
      <c r="B19" s="9"/>
      <c r="C19" s="9"/>
      <c r="D19" s="11">
        <f t="shared" si="5"/>
        <v>41</v>
      </c>
      <c r="E19" s="23">
        <f t="shared" ca="1" si="6"/>
        <v>4.9657007592993074E-2</v>
      </c>
      <c r="F19" s="12">
        <f t="shared" ca="1" si="7"/>
        <v>147653.56103158445</v>
      </c>
      <c r="G19" s="12">
        <f t="shared" ca="1" si="0"/>
        <v>18000</v>
      </c>
      <c r="H19" s="12">
        <f t="shared" ca="1" si="1"/>
        <v>7382.6780515792234</v>
      </c>
      <c r="I19" s="25">
        <f t="shared" ca="1" si="2"/>
        <v>0.12063697635670451</v>
      </c>
      <c r="J19" s="18">
        <f t="shared" ca="1" si="8"/>
        <v>504530.31645407173</v>
      </c>
      <c r="K19" s="25">
        <f t="shared" ca="1" si="3"/>
        <v>0.12541901885976273</v>
      </c>
      <c r="L19" s="18">
        <f t="shared" ca="1" si="9"/>
        <v>155518.98786529139</v>
      </c>
      <c r="M19" s="19">
        <f t="shared" ca="1" si="4"/>
        <v>660049.30431936309</v>
      </c>
      <c r="O19" s="8">
        <v>17</v>
      </c>
      <c r="P19" s="28">
        <v>2392302.7589364839</v>
      </c>
      <c r="Q19" s="28">
        <v>2845078.9431117056</v>
      </c>
      <c r="R19" s="28">
        <v>3187219.5462788651</v>
      </c>
      <c r="S19" s="28">
        <v>2259798.5614754069</v>
      </c>
      <c r="T19" s="28">
        <v>4509177.1518679643</v>
      </c>
      <c r="U19" s="28">
        <v>3266138.9377027955</v>
      </c>
      <c r="V19" s="28">
        <v>4520959.1745726392</v>
      </c>
      <c r="W19" s="28">
        <v>2971032.3955045058</v>
      </c>
      <c r="X19" s="28">
        <v>3251937.6054177862</v>
      </c>
      <c r="Y19" s="28">
        <v>3128885.2079430427</v>
      </c>
      <c r="AA19" s="31">
        <v>6000000</v>
      </c>
      <c r="AB19" s="32">
        <f>COUNTIF($P$3:$Y$102,"&lt;=6000000")</f>
        <v>998</v>
      </c>
      <c r="AC19" s="32">
        <f t="shared" si="10"/>
        <v>13</v>
      </c>
    </row>
    <row r="20" spans="1:29" x14ac:dyDescent="0.2">
      <c r="B20" s="9"/>
      <c r="C20" s="9"/>
      <c r="D20" s="11">
        <f>+D19+1</f>
        <v>42</v>
      </c>
      <c r="E20" s="23">
        <f t="shared" ca="1" si="6"/>
        <v>2.1734723679852189E-2</v>
      </c>
      <c r="F20" s="12">
        <f t="shared" ca="1" si="7"/>
        <v>150862.77038095213</v>
      </c>
      <c r="G20" s="12">
        <f t="shared" ca="1" si="0"/>
        <v>18000</v>
      </c>
      <c r="H20" s="12">
        <f t="shared" ca="1" si="1"/>
        <v>7543.1385190476067</v>
      </c>
      <c r="I20" s="25">
        <f t="shared" ca="1" si="2"/>
        <v>0.10760117512044134</v>
      </c>
      <c r="J20" s="18">
        <f t="shared" ca="1" si="8"/>
        <v>584361.50990746566</v>
      </c>
      <c r="K20" s="25">
        <f t="shared" ca="1" si="3"/>
        <v>0.23323605493770921</v>
      </c>
      <c r="L20" s="18">
        <f t="shared" ca="1" si="9"/>
        <v>197291.62306289744</v>
      </c>
      <c r="M20" s="19">
        <f t="shared" ca="1" si="4"/>
        <v>781653.13297036313</v>
      </c>
      <c r="O20" s="8">
        <v>18</v>
      </c>
      <c r="P20" s="28">
        <v>3811342.6616199361</v>
      </c>
      <c r="Q20" s="28">
        <v>4907311.3084284524</v>
      </c>
      <c r="R20" s="28">
        <v>3294960.7907053987</v>
      </c>
      <c r="S20" s="28">
        <v>3231958.4331967626</v>
      </c>
      <c r="T20" s="28">
        <v>2644908.9970751964</v>
      </c>
      <c r="U20" s="28">
        <v>3760608.1271208539</v>
      </c>
      <c r="V20" s="28">
        <v>4018220.2197297649</v>
      </c>
      <c r="W20" s="28">
        <v>3936031.582864054</v>
      </c>
      <c r="X20" s="28">
        <v>3679701.6198361251</v>
      </c>
      <c r="Y20" s="28">
        <v>3796691.6815567082</v>
      </c>
      <c r="AA20" s="31">
        <v>6500000</v>
      </c>
      <c r="AB20" s="32">
        <f>COUNTIF($P$3:$Y$102,"&lt;=6500000")</f>
        <v>1000</v>
      </c>
      <c r="AC20" s="32">
        <f t="shared" si="10"/>
        <v>2</v>
      </c>
    </row>
    <row r="21" spans="1:29" x14ac:dyDescent="0.2">
      <c r="D21" s="11">
        <f t="shared" si="5"/>
        <v>43</v>
      </c>
      <c r="E21" s="23">
        <f t="shared" ca="1" si="6"/>
        <v>2.8259331015443572E-2</v>
      </c>
      <c r="F21" s="12">
        <f t="shared" ca="1" si="7"/>
        <v>155126.05134705431</v>
      </c>
      <c r="G21" s="12">
        <f t="shared" ca="1" si="0"/>
        <v>18000</v>
      </c>
      <c r="H21" s="12">
        <f t="shared" ca="1" si="1"/>
        <v>7756.3025673527154</v>
      </c>
      <c r="I21" s="25">
        <f t="shared" ca="1" si="2"/>
        <v>7.3264983267862155E-2</v>
      </c>
      <c r="J21" s="18">
        <f t="shared" ca="1" si="8"/>
        <v>652931.04872057145</v>
      </c>
      <c r="K21" s="25">
        <f t="shared" ca="1" si="3"/>
        <v>-8.6737740579311412E-2</v>
      </c>
      <c r="L21" s="18">
        <f t="shared" ca="1" si="9"/>
        <v>185678.99344319655</v>
      </c>
      <c r="M21" s="19">
        <f t="shared" ca="1" si="4"/>
        <v>838610.04216376797</v>
      </c>
      <c r="O21" s="8">
        <v>19</v>
      </c>
      <c r="P21" s="28">
        <v>2889651.9499434489</v>
      </c>
      <c r="Q21" s="28">
        <v>5486421.8284351453</v>
      </c>
      <c r="R21" s="28">
        <v>3795476.1821608557</v>
      </c>
      <c r="S21" s="28">
        <v>2542599.0682903957</v>
      </c>
      <c r="T21" s="28">
        <v>3075872.4154713703</v>
      </c>
      <c r="U21" s="28">
        <v>3927122.0962129887</v>
      </c>
      <c r="V21" s="28">
        <v>2960509.258745091</v>
      </c>
      <c r="W21" s="28">
        <v>2481522.7859288417</v>
      </c>
      <c r="X21" s="28">
        <v>3679357.1440492244</v>
      </c>
      <c r="Y21" s="28">
        <v>5211251.4027169319</v>
      </c>
      <c r="AA21" s="31">
        <v>7000000</v>
      </c>
      <c r="AB21" s="32">
        <f>COUNTIF($P$3:$Y$102,"&lt;=7000000")</f>
        <v>1000</v>
      </c>
      <c r="AC21" s="32">
        <f t="shared" si="10"/>
        <v>0</v>
      </c>
    </row>
    <row r="22" spans="1:29" x14ac:dyDescent="0.2">
      <c r="D22" s="11">
        <f t="shared" si="5"/>
        <v>44</v>
      </c>
      <c r="E22" s="23">
        <f t="shared" ca="1" si="6"/>
        <v>2.8091938794339723E-2</v>
      </c>
      <c r="F22" s="12">
        <f t="shared" ca="1" si="7"/>
        <v>159483.84288690335</v>
      </c>
      <c r="G22" s="12">
        <f t="shared" ca="1" si="0"/>
        <v>18000</v>
      </c>
      <c r="H22" s="12">
        <f t="shared" ca="1" si="1"/>
        <v>7974.1921443451683</v>
      </c>
      <c r="I22" s="25">
        <f t="shared" ca="1" si="2"/>
        <v>4.4762055785975627E-2</v>
      </c>
      <c r="J22" s="18">
        <f t="shared" ca="1" si="8"/>
        <v>708131.77689214237</v>
      </c>
      <c r="K22" s="25">
        <f t="shared" ca="1" si="3"/>
        <v>6.7815109582462632E-2</v>
      </c>
      <c r="L22" s="18">
        <f t="shared" ca="1" si="9"/>
        <v>203770.83473070827</v>
      </c>
      <c r="M22" s="19">
        <f t="shared" ca="1" si="4"/>
        <v>911902.61162285064</v>
      </c>
      <c r="O22" s="8">
        <v>20</v>
      </c>
      <c r="P22" s="28">
        <v>2612023.7218923131</v>
      </c>
      <c r="Q22" s="28">
        <v>2855608.292604099</v>
      </c>
      <c r="R22" s="28">
        <v>4867166.0586090228</v>
      </c>
      <c r="S22" s="28">
        <v>2552852.5630601235</v>
      </c>
      <c r="T22" s="28">
        <v>3263901.4351434857</v>
      </c>
      <c r="U22" s="28">
        <v>4165905.3081919914</v>
      </c>
      <c r="V22" s="28">
        <v>2828281.0954083148</v>
      </c>
      <c r="W22" s="28">
        <v>3286124.2391197733</v>
      </c>
      <c r="X22" s="28">
        <v>3279555.9441990601</v>
      </c>
      <c r="Y22" s="28">
        <v>5248885.0836364077</v>
      </c>
      <c r="AA22" s="31">
        <v>7500000</v>
      </c>
      <c r="AB22" s="32">
        <f>COUNTIF($P$3:$Y$102,"&lt;=7500000")</f>
        <v>1000</v>
      </c>
      <c r="AC22" s="32">
        <f t="shared" si="10"/>
        <v>0</v>
      </c>
    </row>
    <row r="23" spans="1:29" x14ac:dyDescent="0.2">
      <c r="D23" s="11">
        <f t="shared" si="5"/>
        <v>45</v>
      </c>
      <c r="E23" s="23">
        <f t="shared" ca="1" si="6"/>
        <v>4.6790706398110816E-2</v>
      </c>
      <c r="F23" s="12">
        <f t="shared" ca="1" si="7"/>
        <v>166946.20455466688</v>
      </c>
      <c r="G23" s="12">
        <f t="shared" ca="1" si="0"/>
        <v>18000</v>
      </c>
      <c r="H23" s="12">
        <f t="shared" ca="1" si="1"/>
        <v>8347.3102277333437</v>
      </c>
      <c r="I23" s="25">
        <f t="shared" ca="1" si="2"/>
        <v>2.4540056953963024E-2</v>
      </c>
      <c r="J23" s="18">
        <f t="shared" ca="1" si="8"/>
        <v>751856.68125571997</v>
      </c>
      <c r="K23" s="25">
        <f t="shared" ca="1" si="3"/>
        <v>0.26956429109613478</v>
      </c>
      <c r="L23" s="18">
        <f t="shared" ca="1" si="9"/>
        <v>264200.17534095928</v>
      </c>
      <c r="M23" s="19">
        <f t="shared" ca="1" si="4"/>
        <v>1016056.8565966792</v>
      </c>
      <c r="O23" s="8">
        <v>21</v>
      </c>
      <c r="P23" s="28">
        <v>3926692.5370210875</v>
      </c>
      <c r="Q23" s="28">
        <v>4074231.9705498815</v>
      </c>
      <c r="R23" s="28">
        <v>3056446.2958607185</v>
      </c>
      <c r="S23" s="28">
        <v>3969822.2114190408</v>
      </c>
      <c r="T23" s="28">
        <v>5474948.7456259578</v>
      </c>
      <c r="U23" s="28">
        <v>4104698.8368324116</v>
      </c>
      <c r="V23" s="28">
        <v>2408306.1478575389</v>
      </c>
      <c r="W23" s="28">
        <v>3140259.9225455252</v>
      </c>
      <c r="X23" s="28">
        <v>2333961.2002254194</v>
      </c>
      <c r="Y23" s="28">
        <v>4267397.4249731991</v>
      </c>
      <c r="AA23" s="31">
        <v>8000000</v>
      </c>
      <c r="AB23" s="32">
        <f>COUNTIF($P$3:$Y$102,"&lt;=8000000")</f>
        <v>1000</v>
      </c>
      <c r="AC23" s="32">
        <f t="shared" si="10"/>
        <v>0</v>
      </c>
    </row>
    <row r="24" spans="1:29" x14ac:dyDescent="0.2">
      <c r="D24" s="11">
        <f t="shared" si="5"/>
        <v>46</v>
      </c>
      <c r="E24" s="23">
        <f t="shared" ca="1" si="6"/>
        <v>2.7746131456645597E-2</v>
      </c>
      <c r="F24" s="12">
        <f t="shared" ca="1" si="7"/>
        <v>171578.31589242871</v>
      </c>
      <c r="G24" s="12">
        <f t="shared" ca="1" si="0"/>
        <v>18000</v>
      </c>
      <c r="H24" s="12">
        <f t="shared" ca="1" si="1"/>
        <v>8578.9157946214364</v>
      </c>
      <c r="I24" s="25">
        <f t="shared" ca="1" si="2"/>
        <v>-1.5882779802827499E-3</v>
      </c>
      <c r="J24" s="18">
        <f t="shared" ca="1" si="8"/>
        <v>777241.4396391745</v>
      </c>
      <c r="K24" s="25">
        <f t="shared" ca="1" si="3"/>
        <v>-2.1096620055868459E-2</v>
      </c>
      <c r="L24" s="18">
        <f t="shared" ca="1" si="9"/>
        <v>264126.44462309725</v>
      </c>
      <c r="M24" s="19">
        <f t="shared" ca="1" si="4"/>
        <v>1041367.8842622717</v>
      </c>
      <c r="O24" s="8">
        <v>22</v>
      </c>
      <c r="P24" s="28">
        <v>3829291.3290234627</v>
      </c>
      <c r="Q24" s="28">
        <v>3826121.5441933908</v>
      </c>
      <c r="R24" s="28">
        <v>2904992.9097163486</v>
      </c>
      <c r="S24" s="28">
        <v>4109374.8502256791</v>
      </c>
      <c r="T24" s="28">
        <v>2990674.7376843835</v>
      </c>
      <c r="U24" s="28">
        <v>2130101.5278641745</v>
      </c>
      <c r="V24" s="28">
        <v>4128042.4395628031</v>
      </c>
      <c r="W24" s="28">
        <v>4354395.7057681838</v>
      </c>
      <c r="X24" s="28">
        <v>4207359.0813995507</v>
      </c>
      <c r="Y24" s="28">
        <v>2975312.7847933732</v>
      </c>
      <c r="AA24" s="31">
        <v>8500000</v>
      </c>
      <c r="AB24" s="32">
        <f>COUNTIF($P$3:$Y$102,"&lt;=8500000")</f>
        <v>1000</v>
      </c>
      <c r="AC24" s="32">
        <f t="shared" si="10"/>
        <v>0</v>
      </c>
    </row>
    <row r="25" spans="1:29" x14ac:dyDescent="0.2">
      <c r="D25" s="11">
        <f t="shared" si="5"/>
        <v>47</v>
      </c>
      <c r="E25" s="23">
        <f t="shared" ca="1" si="6"/>
        <v>4.398143171202655E-2</v>
      </c>
      <c r="F25" s="12">
        <f t="shared" ca="1" si="7"/>
        <v>179124.57587611608</v>
      </c>
      <c r="G25" s="12">
        <f t="shared" ca="1" si="0"/>
        <v>18000</v>
      </c>
      <c r="H25" s="12">
        <f t="shared" ca="1" si="1"/>
        <v>8956.2287938058053</v>
      </c>
      <c r="I25" s="25">
        <f t="shared" ca="1" si="2"/>
        <v>9.2433444804812914E-2</v>
      </c>
      <c r="J25" s="18">
        <f t="shared" ca="1" si="8"/>
        <v>876040.7721438813</v>
      </c>
      <c r="K25" s="25">
        <f t="shared" ca="1" si="3"/>
        <v>3.3332026677319083E-2</v>
      </c>
      <c r="L25" s="18">
        <f t="shared" ca="1" si="9"/>
        <v>278430.31432145979</v>
      </c>
      <c r="M25" s="19">
        <f t="shared" ca="1" si="4"/>
        <v>1154471.086465341</v>
      </c>
      <c r="O25" s="8">
        <v>23</v>
      </c>
      <c r="P25" s="28">
        <v>4845228.1421600077</v>
      </c>
      <c r="Q25" s="28">
        <v>2664632.4185569552</v>
      </c>
      <c r="R25" s="28">
        <v>3545200.952599599</v>
      </c>
      <c r="S25" s="28">
        <v>4657813.077880932</v>
      </c>
      <c r="T25" s="28">
        <v>4328950.5718014352</v>
      </c>
      <c r="U25" s="28">
        <v>3444707.8352383152</v>
      </c>
      <c r="V25" s="28">
        <v>3763572.3136239494</v>
      </c>
      <c r="W25" s="28">
        <v>3653220.3320517861</v>
      </c>
      <c r="X25" s="28">
        <v>2994017.7874991125</v>
      </c>
      <c r="Y25" s="28">
        <v>3695660.2590805786</v>
      </c>
      <c r="AA25" s="31">
        <v>9000000</v>
      </c>
      <c r="AB25" s="32">
        <f>COUNTIF($P$3:$Y$102,"&lt;=9000000")</f>
        <v>1000</v>
      </c>
      <c r="AC25" s="32">
        <f t="shared" si="10"/>
        <v>0</v>
      </c>
    </row>
    <row r="26" spans="1:29" x14ac:dyDescent="0.2">
      <c r="D26" s="11">
        <f t="shared" si="5"/>
        <v>48</v>
      </c>
      <c r="E26" s="23">
        <f t="shared" ca="1" si="6"/>
        <v>4.7177535991778985E-2</v>
      </c>
      <c r="F26" s="12">
        <f t="shared" ca="1" si="7"/>
        <v>187575.23200152369</v>
      </c>
      <c r="G26" s="12">
        <f t="shared" ca="1" si="0"/>
        <v>18000</v>
      </c>
      <c r="H26" s="12">
        <f t="shared" ca="1" si="1"/>
        <v>9378.7616000761845</v>
      </c>
      <c r="I26" s="25">
        <f t="shared" ca="1" si="2"/>
        <v>1.5090958080754904E-2</v>
      </c>
      <c r="J26" s="18">
        <f t="shared" ca="1" si="8"/>
        <v>916639.82831341308</v>
      </c>
      <c r="K26" s="25">
        <f t="shared" ca="1" si="3"/>
        <v>0.13384770565289916</v>
      </c>
      <c r="L26" s="18">
        <f t="shared" ca="1" si="9"/>
        <v>321197.57307760272</v>
      </c>
      <c r="M26" s="19">
        <f t="shared" ca="1" si="4"/>
        <v>1237837.4013910159</v>
      </c>
      <c r="O26" s="8">
        <v>24</v>
      </c>
      <c r="P26" s="28">
        <v>4955773.6513928678</v>
      </c>
      <c r="Q26" s="28">
        <v>2754714.4091245201</v>
      </c>
      <c r="R26" s="28">
        <v>5504386.1191158006</v>
      </c>
      <c r="S26" s="28">
        <v>4334259.0281275092</v>
      </c>
      <c r="T26" s="28">
        <v>3497295.9111543167</v>
      </c>
      <c r="U26" s="28">
        <v>3416856.7174861687</v>
      </c>
      <c r="V26" s="28">
        <v>3840663.6812569778</v>
      </c>
      <c r="W26" s="28">
        <v>5750758.3091634223</v>
      </c>
      <c r="X26" s="28">
        <v>4447650.9047850063</v>
      </c>
      <c r="Y26" s="28">
        <v>3763239.6500049578</v>
      </c>
    </row>
    <row r="27" spans="1:29" x14ac:dyDescent="0.2">
      <c r="D27" s="11">
        <f t="shared" si="5"/>
        <v>49</v>
      </c>
      <c r="E27" s="23">
        <f t="shared" ca="1" si="6"/>
        <v>2.9043677673213482E-2</v>
      </c>
      <c r="F27" s="12">
        <f t="shared" ca="1" si="7"/>
        <v>193023.10657925418</v>
      </c>
      <c r="G27" s="12">
        <f t="shared" ca="1" si="0"/>
        <v>18000</v>
      </c>
      <c r="H27" s="12">
        <f t="shared" ca="1" si="1"/>
        <v>9651.15532896271</v>
      </c>
      <c r="I27" s="25">
        <f t="shared" ca="1" si="2"/>
        <v>1.4636849499770233E-2</v>
      </c>
      <c r="J27" s="18">
        <f t="shared" ca="1" si="8"/>
        <v>957707.70285489445</v>
      </c>
      <c r="K27" s="25">
        <f t="shared" ca="1" si="3"/>
        <v>7.6351649282916198E-2</v>
      </c>
      <c r="L27" s="18">
        <f t="shared" ca="1" si="9"/>
        <v>351221.53752774769</v>
      </c>
      <c r="M27" s="19">
        <f t="shared" ca="1" si="4"/>
        <v>1308929.240382642</v>
      </c>
      <c r="O27" s="8">
        <v>25</v>
      </c>
      <c r="P27" s="28">
        <v>3063822.6997727426</v>
      </c>
      <c r="Q27" s="28">
        <v>2729874.386539048</v>
      </c>
      <c r="R27" s="28">
        <v>3258294.8206855357</v>
      </c>
      <c r="S27" s="28">
        <v>3869485.2573223137</v>
      </c>
      <c r="T27" s="28">
        <v>5933388.0392957311</v>
      </c>
      <c r="U27" s="28">
        <v>3169101.7722147973</v>
      </c>
      <c r="V27" s="28">
        <v>4110439.8070484884</v>
      </c>
      <c r="W27" s="28">
        <v>2410492.1625598427</v>
      </c>
      <c r="X27" s="28">
        <v>2583392.3275786904</v>
      </c>
      <c r="Y27" s="28">
        <v>3147038.7555022584</v>
      </c>
    </row>
    <row r="28" spans="1:29" x14ac:dyDescent="0.2">
      <c r="D28" s="11">
        <f t="shared" si="5"/>
        <v>50</v>
      </c>
      <c r="E28" s="23">
        <f t="shared" ca="1" si="6"/>
        <v>2.9565942036859499E-2</v>
      </c>
      <c r="F28" s="12">
        <f t="shared" ca="1" si="7"/>
        <v>198730.01656015095</v>
      </c>
      <c r="G28" s="12">
        <f t="shared" ca="1" si="0"/>
        <v>18000</v>
      </c>
      <c r="H28" s="12">
        <f t="shared" ca="1" si="1"/>
        <v>9936.500828007549</v>
      </c>
      <c r="I28" s="25">
        <f t="shared" ca="1" si="2"/>
        <v>-1.5174559770757504E-2</v>
      </c>
      <c r="J28" s="18">
        <f t="shared" ca="1" si="8"/>
        <v>971111.41090301552</v>
      </c>
      <c r="K28" s="25">
        <f t="shared" ca="1" si="3"/>
        <v>5.3091844480844037E-2</v>
      </c>
      <c r="L28" s="18">
        <f t="shared" ca="1" si="9"/>
        <v>375368.53677649383</v>
      </c>
      <c r="M28" s="19">
        <f t="shared" ca="1" si="4"/>
        <v>1346479.9476795094</v>
      </c>
      <c r="O28" s="8">
        <v>26</v>
      </c>
      <c r="P28" s="28">
        <v>3127385.5528091332</v>
      </c>
      <c r="Q28" s="28">
        <v>3962621.8180995118</v>
      </c>
      <c r="R28" s="28">
        <v>3820571.0800963826</v>
      </c>
      <c r="S28" s="28">
        <v>2558531.2150472081</v>
      </c>
      <c r="T28" s="28">
        <v>2157943.6140877642</v>
      </c>
      <c r="U28" s="28">
        <v>2758321.9768386213</v>
      </c>
      <c r="V28" s="28">
        <v>3302211.4525010334</v>
      </c>
      <c r="W28" s="28">
        <v>4792835.6998249628</v>
      </c>
      <c r="X28" s="28">
        <v>3337907.1956788539</v>
      </c>
      <c r="Y28" s="28">
        <v>4179397.5773477321</v>
      </c>
    </row>
    <row r="29" spans="1:29" x14ac:dyDescent="0.2">
      <c r="D29" s="11">
        <f t="shared" si="5"/>
        <v>51</v>
      </c>
      <c r="E29" s="23">
        <f t="shared" ca="1" si="6"/>
        <v>3.2435105368680647E-2</v>
      </c>
      <c r="F29" s="12">
        <f t="shared" ca="1" si="7"/>
        <v>205175.84558719909</v>
      </c>
      <c r="G29" s="12">
        <f t="shared" ca="1" si="0"/>
        <v>18000</v>
      </c>
      <c r="H29" s="12">
        <f t="shared" ca="1" si="1"/>
        <v>10258.792279359956</v>
      </c>
      <c r="I29" s="25">
        <f t="shared" ca="1" si="2"/>
        <v>0.14114633802850429</v>
      </c>
      <c r="J29" s="18">
        <f t="shared" ca="1" si="8"/>
        <v>1136439.0226490302</v>
      </c>
      <c r="K29" s="25">
        <f t="shared" ca="1" si="3"/>
        <v>-2.8183415538209772E-3</v>
      </c>
      <c r="L29" s="18">
        <f t="shared" ca="1" si="9"/>
        <v>379810.62003129965</v>
      </c>
      <c r="M29" s="19">
        <f t="shared" ca="1" si="4"/>
        <v>1516249.6426803297</v>
      </c>
      <c r="O29" s="8">
        <v>27</v>
      </c>
      <c r="P29" s="28">
        <v>3337482.3227082719</v>
      </c>
      <c r="Q29" s="28">
        <v>3490658.001593262</v>
      </c>
      <c r="R29" s="28">
        <v>4543602.9718685057</v>
      </c>
      <c r="S29" s="28">
        <v>2981233.883913348</v>
      </c>
      <c r="T29" s="28">
        <v>3913425.0616060155</v>
      </c>
      <c r="U29" s="28">
        <v>3682843.5761516304</v>
      </c>
      <c r="V29" s="28">
        <v>3797369.2677339716</v>
      </c>
      <c r="W29" s="28">
        <v>3387893.5233670473</v>
      </c>
      <c r="X29" s="28">
        <v>3339123.4141011224</v>
      </c>
      <c r="Y29" s="28">
        <v>3790927.1229348173</v>
      </c>
    </row>
    <row r="30" spans="1:29" x14ac:dyDescent="0.2">
      <c r="D30" s="11">
        <f t="shared" si="5"/>
        <v>52</v>
      </c>
      <c r="E30" s="23">
        <f t="shared" ca="1" si="6"/>
        <v>2.2617874719392445E-2</v>
      </c>
      <c r="F30" s="12">
        <f t="shared" ca="1" si="7"/>
        <v>209816.48715813577</v>
      </c>
      <c r="G30" s="12">
        <f t="shared" ca="1" si="0"/>
        <v>18000</v>
      </c>
      <c r="H30" s="12">
        <f t="shared" ca="1" si="1"/>
        <v>10490.824357906789</v>
      </c>
      <c r="I30" s="25">
        <f t="shared" ca="1" si="2"/>
        <v>8.2123296747435917E-2</v>
      </c>
      <c r="J30" s="18">
        <f t="shared" ca="1" si="8"/>
        <v>1258257.9660993093</v>
      </c>
      <c r="K30" s="25">
        <f t="shared" ca="1" si="3"/>
        <v>0.18359760915839907</v>
      </c>
      <c r="L30" s="18">
        <f t="shared" ca="1" si="9"/>
        <v>455042.94180201541</v>
      </c>
      <c r="M30" s="19">
        <f t="shared" ca="1" si="4"/>
        <v>1713300.9079013248</v>
      </c>
      <c r="O30" s="8">
        <v>28</v>
      </c>
      <c r="P30" s="28">
        <v>3614462.737778144</v>
      </c>
      <c r="Q30" s="28">
        <v>3805204.5193639761</v>
      </c>
      <c r="R30" s="28">
        <v>3465622.3200987326</v>
      </c>
      <c r="S30" s="28">
        <v>3120768.9238193426</v>
      </c>
      <c r="T30" s="28">
        <v>3870376.3058116147</v>
      </c>
      <c r="U30" s="28">
        <v>3891614.9119590959</v>
      </c>
      <c r="V30" s="28">
        <v>3265093.2330260845</v>
      </c>
      <c r="W30" s="28">
        <v>3198958.6868018145</v>
      </c>
      <c r="X30" s="28">
        <v>2521786.4149534581</v>
      </c>
      <c r="Y30" s="28">
        <v>3026001.2184911901</v>
      </c>
    </row>
    <row r="31" spans="1:29" x14ac:dyDescent="0.2">
      <c r="D31" s="11">
        <f t="shared" si="5"/>
        <v>53</v>
      </c>
      <c r="E31" s="23">
        <f t="shared" ca="1" si="6"/>
        <v>2.5158389971185503E-2</v>
      </c>
      <c r="F31" s="12">
        <f t="shared" ca="1" si="7"/>
        <v>215095.1321644444</v>
      </c>
      <c r="G31" s="12">
        <f t="shared" ca="1" si="0"/>
        <v>18000</v>
      </c>
      <c r="H31" s="12">
        <f t="shared" ca="1" si="1"/>
        <v>10754.75660822222</v>
      </c>
      <c r="I31" s="25">
        <f t="shared" ca="1" si="2"/>
        <v>0.11917108997033199</v>
      </c>
      <c r="J31" s="18">
        <f t="shared" ca="1" si="8"/>
        <v>1436960.695991439</v>
      </c>
      <c r="K31" s="25">
        <f t="shared" ca="1" si="3"/>
        <v>2.0898116341486368E-2</v>
      </c>
      <c r="L31" s="18">
        <f t="shared" ca="1" si="9"/>
        <v>470052.4821401661</v>
      </c>
      <c r="M31" s="19">
        <f t="shared" ca="1" si="4"/>
        <v>1907013.178131605</v>
      </c>
      <c r="O31" s="8">
        <v>29</v>
      </c>
      <c r="P31" s="28">
        <v>2909206.8783516241</v>
      </c>
      <c r="Q31" s="28">
        <v>4542712.5522099854</v>
      </c>
      <c r="R31" s="28">
        <v>3014216.9888672614</v>
      </c>
      <c r="S31" s="28">
        <v>3368699.7189678769</v>
      </c>
      <c r="T31" s="28">
        <v>3087289.5999150034</v>
      </c>
      <c r="U31" s="28">
        <v>3876745.3859227928</v>
      </c>
      <c r="V31" s="28">
        <v>3010841.051506022</v>
      </c>
      <c r="W31" s="28">
        <v>4539826.1341870986</v>
      </c>
      <c r="X31" s="28">
        <v>3986921.2588215265</v>
      </c>
      <c r="Y31" s="28">
        <v>2960979.6636139504</v>
      </c>
    </row>
    <row r="32" spans="1:29" x14ac:dyDescent="0.2">
      <c r="D32" s="11">
        <f t="shared" si="5"/>
        <v>54</v>
      </c>
      <c r="E32" s="23">
        <f t="shared" ca="1" si="6"/>
        <v>2.9934356008733599E-2</v>
      </c>
      <c r="F32" s="12">
        <f t="shared" ca="1" si="7"/>
        <v>221533.86642640049</v>
      </c>
      <c r="G32" s="12">
        <f t="shared" ca="1" si="0"/>
        <v>18000</v>
      </c>
      <c r="H32" s="12">
        <f t="shared" ca="1" si="1"/>
        <v>11076.693321320025</v>
      </c>
      <c r="I32" s="25">
        <f t="shared" ca="1" si="2"/>
        <v>7.906277838494559E-2</v>
      </c>
      <c r="J32" s="18">
        <f t="shared" ca="1" si="8"/>
        <v>1579647.4943678074</v>
      </c>
      <c r="K32" s="25">
        <f t="shared" ca="1" si="3"/>
        <v>-1.7587730933522477E-3</v>
      </c>
      <c r="L32" s="18">
        <f t="shared" ca="1" si="9"/>
        <v>474725.76648211456</v>
      </c>
      <c r="M32" s="19">
        <f t="shared" ca="1" si="4"/>
        <v>2054373.260849922</v>
      </c>
      <c r="O32" s="8">
        <v>30</v>
      </c>
      <c r="P32" s="28">
        <v>3516462.8471647268</v>
      </c>
      <c r="Q32" s="28">
        <v>4033821.7746332735</v>
      </c>
      <c r="R32" s="28">
        <v>3061795.6403300609</v>
      </c>
      <c r="S32" s="28">
        <v>5323390.0319616888</v>
      </c>
      <c r="T32" s="28">
        <v>2410751.2306651855</v>
      </c>
      <c r="U32" s="28">
        <v>4747076.3374959705</v>
      </c>
      <c r="V32" s="28">
        <v>2949969.9776191702</v>
      </c>
      <c r="W32" s="28">
        <v>3576715.3300320795</v>
      </c>
      <c r="X32" s="28">
        <v>4393823.3527963618</v>
      </c>
      <c r="Y32" s="28">
        <v>3176062.9279272561</v>
      </c>
    </row>
    <row r="33" spans="4:25" x14ac:dyDescent="0.2">
      <c r="D33" s="11">
        <f t="shared" si="5"/>
        <v>55</v>
      </c>
      <c r="E33" s="23">
        <f t="shared" ca="1" si="6"/>
        <v>4.6619853528104931E-2</v>
      </c>
      <c r="F33" s="12">
        <f t="shared" ca="1" si="7"/>
        <v>231861.74283071404</v>
      </c>
      <c r="G33" s="12">
        <f t="shared" ca="1" si="0"/>
        <v>18000</v>
      </c>
      <c r="H33" s="12">
        <f t="shared" ca="1" si="1"/>
        <v>11593.087141535703</v>
      </c>
      <c r="I33" s="25">
        <f t="shared" ca="1" si="2"/>
        <v>4.2529271653333686E-2</v>
      </c>
      <c r="J33" s="18">
        <f t="shared" ca="1" si="8"/>
        <v>1676421.8389138195</v>
      </c>
      <c r="K33" s="25">
        <f t="shared" ca="1" si="3"/>
        <v>1.2195752535244249E-2</v>
      </c>
      <c r="L33" s="18">
        <f t="shared" ca="1" si="9"/>
        <v>487015.40445223462</v>
      </c>
      <c r="M33" s="19">
        <f t="shared" ca="1" si="4"/>
        <v>2163437.2433660543</v>
      </c>
      <c r="O33" s="8">
        <v>31</v>
      </c>
      <c r="P33" s="28">
        <v>3844246.4042718792</v>
      </c>
      <c r="Q33" s="28">
        <v>2406667.7538391822</v>
      </c>
      <c r="R33" s="28">
        <v>2715471.4769312656</v>
      </c>
      <c r="S33" s="28">
        <v>3231476.9020613637</v>
      </c>
      <c r="T33" s="28">
        <v>2592051.7919931118</v>
      </c>
      <c r="U33" s="28">
        <v>3610742.6817792221</v>
      </c>
      <c r="V33" s="28">
        <v>3514764.5708153998</v>
      </c>
      <c r="W33" s="28">
        <v>4666928.4287129473</v>
      </c>
      <c r="X33" s="28">
        <v>4250188.5693406425</v>
      </c>
      <c r="Y33" s="28">
        <v>2998986.2654068042</v>
      </c>
    </row>
    <row r="34" spans="4:25" x14ac:dyDescent="0.2">
      <c r="D34" s="11">
        <f t="shared" si="5"/>
        <v>56</v>
      </c>
      <c r="E34" s="23">
        <f t="shared" ca="1" si="6"/>
        <v>3.377887733320159E-2</v>
      </c>
      <c r="F34" s="12">
        <f t="shared" ca="1" si="7"/>
        <v>239693.77220005507</v>
      </c>
      <c r="G34" s="12">
        <f t="shared" ca="1" si="0"/>
        <v>18000</v>
      </c>
      <c r="H34" s="12">
        <f t="shared" ca="1" si="1"/>
        <v>11984.688610002755</v>
      </c>
      <c r="I34" s="25">
        <f t="shared" ca="1" si="2"/>
        <v>6.634655311107078E-2</v>
      </c>
      <c r="J34" s="18">
        <f t="shared" ca="1" si="8"/>
        <v>1817631.3380958771</v>
      </c>
      <c r="K34" s="25">
        <f t="shared" ca="1" si="3"/>
        <v>0.11056769712852887</v>
      </c>
      <c r="L34" s="18">
        <f t="shared" ca="1" si="9"/>
        <v>547363.57618863729</v>
      </c>
      <c r="M34" s="19">
        <f t="shared" ca="1" si="4"/>
        <v>2364994.9142845143</v>
      </c>
      <c r="O34" s="8">
        <v>32</v>
      </c>
      <c r="P34" s="28">
        <v>3398569.6007928243</v>
      </c>
      <c r="Q34" s="28">
        <v>3628668.2247330574</v>
      </c>
      <c r="R34" s="28">
        <v>3749027.9617126035</v>
      </c>
      <c r="S34" s="28">
        <v>3738650.5955242375</v>
      </c>
      <c r="T34" s="28">
        <v>3685168.0469615683</v>
      </c>
      <c r="U34" s="28">
        <v>2980757.914795205</v>
      </c>
      <c r="V34" s="28">
        <v>5478605.2657826748</v>
      </c>
      <c r="W34" s="28">
        <v>2978114.6091769226</v>
      </c>
      <c r="X34" s="28">
        <v>1966899.2705540196</v>
      </c>
      <c r="Y34" s="28">
        <v>2837735.2097404739</v>
      </c>
    </row>
    <row r="35" spans="4:25" x14ac:dyDescent="0.2">
      <c r="D35" s="11">
        <f t="shared" si="5"/>
        <v>57</v>
      </c>
      <c r="E35" s="23">
        <f t="shared" ca="1" si="6"/>
        <v>4.5564022376697697E-2</v>
      </c>
      <c r="F35" s="12">
        <f t="shared" ca="1" si="7"/>
        <v>250615.18460013345</v>
      </c>
      <c r="G35" s="12">
        <f t="shared" ca="1" si="0"/>
        <v>18000</v>
      </c>
      <c r="H35" s="12">
        <f t="shared" ca="1" si="1"/>
        <v>12530.759230006674</v>
      </c>
      <c r="I35" s="25">
        <f t="shared" ca="1" si="2"/>
        <v>0.17240150764898338</v>
      </c>
      <c r="J35" s="18">
        <f t="shared" ca="1" si="8"/>
        <v>2161524.4803636516</v>
      </c>
      <c r="K35" s="25">
        <f t="shared" ca="1" si="3"/>
        <v>0.16186306300981859</v>
      </c>
      <c r="L35" s="18">
        <f t="shared" ca="1" si="9"/>
        <v>642461.52121053834</v>
      </c>
      <c r="M35" s="19">
        <f t="shared" ca="1" si="4"/>
        <v>2803986.0015741899</v>
      </c>
      <c r="O35" s="8">
        <v>33</v>
      </c>
      <c r="P35" s="28">
        <v>3510999.1836483991</v>
      </c>
      <c r="Q35" s="28">
        <v>3339119.0002119211</v>
      </c>
      <c r="R35" s="28">
        <v>3077874.7040962754</v>
      </c>
      <c r="S35" s="28">
        <v>3997404.3689884003</v>
      </c>
      <c r="T35" s="28">
        <v>2624376.6710639093</v>
      </c>
      <c r="U35" s="28">
        <v>3625659.8071344607</v>
      </c>
      <c r="V35" s="28">
        <v>3746701.794326914</v>
      </c>
      <c r="W35" s="28">
        <v>4181688.7555393944</v>
      </c>
      <c r="X35" s="28">
        <v>4377742.112579993</v>
      </c>
      <c r="Y35" s="28">
        <v>4031405.0616047573</v>
      </c>
    </row>
    <row r="36" spans="4:25" x14ac:dyDescent="0.2">
      <c r="D36" s="11">
        <f t="shared" si="5"/>
        <v>58</v>
      </c>
      <c r="E36" s="23">
        <f t="shared" ca="1" si="6"/>
        <v>4.7655920907417992E-2</v>
      </c>
      <c r="F36" s="12">
        <f t="shared" ca="1" si="7"/>
        <v>262558.48201563535</v>
      </c>
      <c r="G36" s="12">
        <f t="shared" ca="1" si="0"/>
        <v>18000</v>
      </c>
      <c r="H36" s="12">
        <f t="shared" ca="1" si="1"/>
        <v>13127.924100781769</v>
      </c>
      <c r="I36" s="25">
        <f t="shared" ca="1" si="2"/>
        <v>8.2798470431650562E-2</v>
      </c>
      <c r="J36" s="18">
        <f t="shared" ca="1" si="8"/>
        <v>2371623.3252391117</v>
      </c>
      <c r="K36" s="25">
        <f t="shared" ca="1" si="3"/>
        <v>6.2229057210054776E-2</v>
      </c>
      <c r="L36" s="18">
        <f t="shared" ca="1" si="9"/>
        <v>688941.29596920777</v>
      </c>
      <c r="M36" s="19">
        <f t="shared" ca="1" si="4"/>
        <v>3060564.6212083194</v>
      </c>
      <c r="O36" s="8">
        <v>34</v>
      </c>
      <c r="P36" s="28">
        <v>5203810.7414794629</v>
      </c>
      <c r="Q36" s="28">
        <v>3758973.0073196706</v>
      </c>
      <c r="R36" s="28">
        <v>4343929.3815390645</v>
      </c>
      <c r="S36" s="28">
        <v>3230437.1241460559</v>
      </c>
      <c r="T36" s="28">
        <v>2744297.9102195548</v>
      </c>
      <c r="U36" s="28">
        <v>3536177.0820943704</v>
      </c>
      <c r="V36" s="28">
        <v>2837966.1324541257</v>
      </c>
      <c r="W36" s="28">
        <v>4102282.5292794835</v>
      </c>
      <c r="X36" s="28">
        <v>4653335.5551348291</v>
      </c>
      <c r="Y36" s="28">
        <v>3365129.5694878758</v>
      </c>
    </row>
    <row r="37" spans="4:25" ht="17" thickBot="1" x14ac:dyDescent="0.25">
      <c r="D37" s="11">
        <f t="shared" si="5"/>
        <v>59</v>
      </c>
      <c r="E37" s="23">
        <f t="shared" ca="1" si="6"/>
        <v>4.1957266478612323E-2</v>
      </c>
      <c r="F37" s="12">
        <f t="shared" ca="1" si="7"/>
        <v>273574.71821178531</v>
      </c>
      <c r="G37" s="12">
        <f t="shared" ca="1" si="0"/>
        <v>18000</v>
      </c>
      <c r="H37" s="12">
        <f t="shared" ca="1" si="1"/>
        <v>13678.735910589266</v>
      </c>
      <c r="I37" s="25">
        <f t="shared" ca="1" si="2"/>
        <v>3.3122797513549615E-2</v>
      </c>
      <c r="J37" s="18">
        <f t="shared" ca="1" si="8"/>
        <v>2481856.860330007</v>
      </c>
      <c r="K37" s="25">
        <f t="shared" ca="1" si="3"/>
        <v>0.23436756387721458</v>
      </c>
      <c r="L37" s="18">
        <f t="shared" ca="1" si="9"/>
        <v>856906.78915992205</v>
      </c>
      <c r="M37" s="19">
        <f t="shared" ca="1" si="4"/>
        <v>3338763.649489929</v>
      </c>
      <c r="O37" s="8">
        <v>35</v>
      </c>
      <c r="P37" s="28">
        <v>2466585.7520407778</v>
      </c>
      <c r="Q37" s="28">
        <v>3894693.1880611507</v>
      </c>
      <c r="R37" s="28">
        <v>3249370.6244089655</v>
      </c>
      <c r="S37" s="28">
        <v>3103081.740941145</v>
      </c>
      <c r="T37" s="28">
        <v>6283130.7445346508</v>
      </c>
      <c r="U37" s="28">
        <v>3662897.2689947709</v>
      </c>
      <c r="V37" s="28">
        <v>3299148.3122311798</v>
      </c>
      <c r="W37" s="28">
        <v>2378629.3579189782</v>
      </c>
      <c r="X37" s="28">
        <v>2782863.2116715973</v>
      </c>
      <c r="Y37" s="28">
        <v>3095152.1465129568</v>
      </c>
    </row>
    <row r="38" spans="4:25" ht="17" thickBot="1" x14ac:dyDescent="0.25">
      <c r="D38" s="15">
        <f t="shared" si="5"/>
        <v>60</v>
      </c>
      <c r="E38" s="24">
        <f t="shared" ca="1" si="6"/>
        <v>2.8744358395748081E-2</v>
      </c>
      <c r="F38" s="16">
        <f t="shared" ca="1" si="7"/>
        <v>281438.44796008064</v>
      </c>
      <c r="G38" s="16">
        <f t="shared" ca="1" si="0"/>
        <v>18000</v>
      </c>
      <c r="H38" s="16">
        <f t="shared" ca="1" si="1"/>
        <v>14071.922398004033</v>
      </c>
      <c r="I38" s="26">
        <f t="shared" ca="1" si="2"/>
        <v>-1.3602990195746137E-2</v>
      </c>
      <c r="J38" s="18">
        <f t="shared" ca="1" si="8"/>
        <v>2480168.1081896969</v>
      </c>
      <c r="K38" s="26">
        <f t="shared" ca="1" si="3"/>
        <v>8.5773342469962349E-2</v>
      </c>
      <c r="L38" s="18">
        <f t="shared" ca="1" si="9"/>
        <v>936906.54865137173</v>
      </c>
      <c r="M38" s="20">
        <f t="shared" ca="1" si="4"/>
        <v>3417074.6568410685</v>
      </c>
      <c r="O38" s="8">
        <v>36</v>
      </c>
      <c r="P38" s="28">
        <v>5704577.5346018216</v>
      </c>
      <c r="Q38" s="28">
        <v>2227301.7401293409</v>
      </c>
      <c r="R38" s="28">
        <v>3348049.4225447793</v>
      </c>
      <c r="S38" s="28">
        <v>3291188.6865807842</v>
      </c>
      <c r="T38" s="28">
        <v>2654541.3353864565</v>
      </c>
      <c r="U38" s="28">
        <v>2517973.8917518444</v>
      </c>
      <c r="V38" s="28">
        <v>2430155.1308367737</v>
      </c>
      <c r="W38" s="28">
        <v>3041703.3104993766</v>
      </c>
      <c r="X38" s="28">
        <v>4152404.7078738594</v>
      </c>
      <c r="Y38" s="28">
        <v>6338890.199750673</v>
      </c>
    </row>
    <row r="39" spans="4:25" x14ac:dyDescent="0.2">
      <c r="O39" s="8">
        <v>37</v>
      </c>
      <c r="P39" s="28">
        <v>3357707.06531737</v>
      </c>
      <c r="Q39" s="28">
        <v>4572134.748124551</v>
      </c>
      <c r="R39" s="28">
        <v>3348314.2077015564</v>
      </c>
      <c r="S39" s="28">
        <v>2495476.2711883173</v>
      </c>
      <c r="T39" s="28">
        <v>3688571.3880742472</v>
      </c>
      <c r="U39" s="28">
        <v>3146833.1211442673</v>
      </c>
      <c r="V39" s="28">
        <v>3333967.3621216724</v>
      </c>
      <c r="W39" s="28">
        <v>2878232.5194533831</v>
      </c>
      <c r="X39" s="28">
        <v>2515026.4287485089</v>
      </c>
      <c r="Y39" s="28">
        <v>2806869.4406747152</v>
      </c>
    </row>
    <row r="40" spans="4:25" x14ac:dyDescent="0.2">
      <c r="O40" s="8">
        <v>38</v>
      </c>
      <c r="P40" s="28">
        <v>5339565.2394893076</v>
      </c>
      <c r="Q40" s="28">
        <v>3250941.5429564281</v>
      </c>
      <c r="R40" s="28">
        <v>5591729.6844653031</v>
      </c>
      <c r="S40" s="28">
        <v>2664458.4681580639</v>
      </c>
      <c r="T40" s="28">
        <v>3068677.2162667271</v>
      </c>
      <c r="U40" s="28">
        <v>2949597.5955674406</v>
      </c>
      <c r="V40" s="28">
        <v>2935067.9255969846</v>
      </c>
      <c r="W40" s="28">
        <v>2371321.2592392452</v>
      </c>
      <c r="X40" s="28">
        <v>3746570.5597808077</v>
      </c>
      <c r="Y40" s="28">
        <v>3259718.2936057514</v>
      </c>
    </row>
    <row r="41" spans="4:25" x14ac:dyDescent="0.2">
      <c r="O41" s="8">
        <v>39</v>
      </c>
      <c r="P41" s="28">
        <v>3618725.9086673879</v>
      </c>
      <c r="Q41" s="28">
        <v>3208694.7999420343</v>
      </c>
      <c r="R41" s="28">
        <v>2736001.7378387754</v>
      </c>
      <c r="S41" s="28">
        <v>4035496.3577708779</v>
      </c>
      <c r="T41" s="28">
        <v>2828836.5037892242</v>
      </c>
      <c r="U41" s="28">
        <v>3244975.7316784123</v>
      </c>
      <c r="V41" s="28">
        <v>3193454.2517381958</v>
      </c>
      <c r="W41" s="28">
        <v>3771418.7973456718</v>
      </c>
      <c r="X41" s="28">
        <v>3577890.5878308853</v>
      </c>
      <c r="Y41" s="28">
        <v>3306571.4859277462</v>
      </c>
    </row>
    <row r="42" spans="4:25" x14ac:dyDescent="0.2">
      <c r="O42" s="8">
        <v>40</v>
      </c>
      <c r="P42" s="28">
        <v>2628658.3219468202</v>
      </c>
      <c r="Q42" s="28">
        <v>4229169.1179800136</v>
      </c>
      <c r="R42" s="28">
        <v>3509790.1986796791</v>
      </c>
      <c r="S42" s="28">
        <v>5286763.8655098649</v>
      </c>
      <c r="T42" s="28">
        <v>3745017.1875742702</v>
      </c>
      <c r="U42" s="28">
        <v>3567419.9368575057</v>
      </c>
      <c r="V42" s="28">
        <v>3470124.4811904216</v>
      </c>
      <c r="W42" s="28">
        <v>2681241.0202003373</v>
      </c>
      <c r="X42" s="28">
        <v>3732823.076893351</v>
      </c>
      <c r="Y42" s="28">
        <v>3375170.2991028088</v>
      </c>
    </row>
    <row r="43" spans="4:25" x14ac:dyDescent="0.2">
      <c r="O43" s="8">
        <v>41</v>
      </c>
      <c r="P43" s="28">
        <v>2889076.3953890442</v>
      </c>
      <c r="Q43" s="28">
        <v>5203527.8786016032</v>
      </c>
      <c r="R43" s="28">
        <v>3331092.1910147257</v>
      </c>
      <c r="S43" s="28">
        <v>3627102.5193296592</v>
      </c>
      <c r="T43" s="28">
        <v>2735591.2614882244</v>
      </c>
      <c r="U43" s="28">
        <v>3862959.9211363276</v>
      </c>
      <c r="V43" s="28">
        <v>3028701.3362136818</v>
      </c>
      <c r="W43" s="28">
        <v>2766001.2511485144</v>
      </c>
      <c r="X43" s="28">
        <v>2983278.694620152</v>
      </c>
      <c r="Y43" s="28">
        <v>3264609.5555615057</v>
      </c>
    </row>
    <row r="44" spans="4:25" x14ac:dyDescent="0.2">
      <c r="O44" s="8">
        <v>42</v>
      </c>
      <c r="P44" s="28">
        <v>3084422.2396055185</v>
      </c>
      <c r="Q44" s="28">
        <v>3811589.9539379822</v>
      </c>
      <c r="R44" s="28">
        <v>3393907.1140210293</v>
      </c>
      <c r="S44" s="28">
        <v>2831014.8311489392</v>
      </c>
      <c r="T44" s="28">
        <v>3872791.8861502223</v>
      </c>
      <c r="U44" s="28">
        <v>2770692.795371036</v>
      </c>
      <c r="V44" s="28">
        <v>2751669.2731037736</v>
      </c>
      <c r="W44" s="28">
        <v>3364335.0217640963</v>
      </c>
      <c r="X44" s="28">
        <v>3967885.0904304786</v>
      </c>
      <c r="Y44" s="28">
        <v>5758183.0083563542</v>
      </c>
    </row>
    <row r="45" spans="4:25" x14ac:dyDescent="0.2">
      <c r="O45" s="8">
        <v>43</v>
      </c>
      <c r="P45" s="28">
        <v>3068854.6507399953</v>
      </c>
      <c r="Q45" s="28">
        <v>3464454.0983034745</v>
      </c>
      <c r="R45" s="28">
        <v>3000400.02454942</v>
      </c>
      <c r="S45" s="28">
        <v>3955328.7281101621</v>
      </c>
      <c r="T45" s="28">
        <v>4269736.3453871915</v>
      </c>
      <c r="U45" s="28">
        <v>4942995.6180980997</v>
      </c>
      <c r="V45" s="28">
        <v>4724901.0941877402</v>
      </c>
      <c r="W45" s="28">
        <v>3511330.015714136</v>
      </c>
      <c r="X45" s="28">
        <v>4604320.4511653241</v>
      </c>
      <c r="Y45" s="28">
        <v>2922791.4593430813</v>
      </c>
    </row>
    <row r="46" spans="4:25" x14ac:dyDescent="0.2">
      <c r="O46" s="8">
        <v>44</v>
      </c>
      <c r="P46" s="28">
        <v>2708755.1415187987</v>
      </c>
      <c r="Q46" s="28">
        <v>2474631.4435106874</v>
      </c>
      <c r="R46" s="28">
        <v>3066928.3898882531</v>
      </c>
      <c r="S46" s="28">
        <v>3966992.0457348893</v>
      </c>
      <c r="T46" s="28">
        <v>2929095.8669989938</v>
      </c>
      <c r="U46" s="28">
        <v>4728138.2706160806</v>
      </c>
      <c r="V46" s="28">
        <v>2439667.3994966391</v>
      </c>
      <c r="W46" s="28">
        <v>2949117.9375208644</v>
      </c>
      <c r="X46" s="28">
        <v>2850321.916723494</v>
      </c>
      <c r="Y46" s="28">
        <v>3323390.8972520912</v>
      </c>
    </row>
    <row r="47" spans="4:25" x14ac:dyDescent="0.2">
      <c r="O47" s="8">
        <v>45</v>
      </c>
      <c r="P47" s="28">
        <v>2419390.6586872456</v>
      </c>
      <c r="Q47" s="28">
        <v>3177607.4608740662</v>
      </c>
      <c r="R47" s="28">
        <v>3275509.5660082279</v>
      </c>
      <c r="S47" s="28">
        <v>2616082.9871617435</v>
      </c>
      <c r="T47" s="28">
        <v>3345499.0562236547</v>
      </c>
      <c r="U47" s="28">
        <v>3727604.5837877686</v>
      </c>
      <c r="V47" s="28">
        <v>3501158.9548027851</v>
      </c>
      <c r="W47" s="28">
        <v>3643846.8857464306</v>
      </c>
      <c r="X47" s="28">
        <v>2600094.6999439555</v>
      </c>
      <c r="Y47" s="28">
        <v>5417546.8771480173</v>
      </c>
    </row>
    <row r="48" spans="4:25" x14ac:dyDescent="0.2">
      <c r="O48" s="8">
        <v>46</v>
      </c>
      <c r="P48" s="28">
        <v>4004336.0610552849</v>
      </c>
      <c r="Q48" s="28">
        <v>3045091.9391408199</v>
      </c>
      <c r="R48" s="28">
        <v>3216215.2206438328</v>
      </c>
      <c r="S48" s="28">
        <v>3905147.9163031722</v>
      </c>
      <c r="T48" s="28">
        <v>2960558.6227829251</v>
      </c>
      <c r="U48" s="28">
        <v>3663980.6424451545</v>
      </c>
      <c r="V48" s="28">
        <v>4501215.9100325461</v>
      </c>
      <c r="W48" s="28">
        <v>3249107.5129172709</v>
      </c>
      <c r="X48" s="28">
        <v>3784718.9930577837</v>
      </c>
      <c r="Y48" s="28">
        <v>2905869.1241494133</v>
      </c>
    </row>
    <row r="49" spans="15:25" x14ac:dyDescent="0.2">
      <c r="O49" s="8">
        <v>47</v>
      </c>
      <c r="P49" s="28">
        <v>2841270.8362842975</v>
      </c>
      <c r="Q49" s="28">
        <v>3475663.9330991628</v>
      </c>
      <c r="R49" s="28">
        <v>3857656.8742998438</v>
      </c>
      <c r="S49" s="28">
        <v>3827879.7065696064</v>
      </c>
      <c r="T49" s="28">
        <v>4816813.2119058054</v>
      </c>
      <c r="U49" s="28">
        <v>3060072.6350090746</v>
      </c>
      <c r="V49" s="28">
        <v>3653097.0869758227</v>
      </c>
      <c r="W49" s="28">
        <v>4019537.3690438946</v>
      </c>
      <c r="X49" s="28">
        <v>2542241.5107705756</v>
      </c>
      <c r="Y49" s="28">
        <v>4745643.760460699</v>
      </c>
    </row>
    <row r="50" spans="15:25" x14ac:dyDescent="0.2">
      <c r="O50" s="8">
        <v>48</v>
      </c>
      <c r="P50" s="28">
        <v>4089974.6711024363</v>
      </c>
      <c r="Q50" s="28">
        <v>3555508.0087213726</v>
      </c>
      <c r="R50" s="28">
        <v>4231404.1666328143</v>
      </c>
      <c r="S50" s="28">
        <v>2798601.988291976</v>
      </c>
      <c r="T50" s="28">
        <v>3009593.0712367408</v>
      </c>
      <c r="U50" s="28">
        <v>3758531.1795668271</v>
      </c>
      <c r="V50" s="28">
        <v>3280403.3314317265</v>
      </c>
      <c r="W50" s="28">
        <v>4687607.8495037323</v>
      </c>
      <c r="X50" s="28">
        <v>3633650.7751794001</v>
      </c>
      <c r="Y50" s="28">
        <v>2817313.6419222094</v>
      </c>
    </row>
    <row r="51" spans="15:25" x14ac:dyDescent="0.2">
      <c r="O51" s="8">
        <v>49</v>
      </c>
      <c r="P51" s="28">
        <v>4679772.7487145774</v>
      </c>
      <c r="Q51" s="28">
        <v>3596045.7393417982</v>
      </c>
      <c r="R51" s="28">
        <v>4082306.6155476677</v>
      </c>
      <c r="S51" s="28">
        <v>3620230.4726156821</v>
      </c>
      <c r="T51" s="28">
        <v>2715635.6183118806</v>
      </c>
      <c r="U51" s="28">
        <v>2764769.275824598</v>
      </c>
      <c r="V51" s="28">
        <v>3538503.3018159764</v>
      </c>
      <c r="W51" s="28">
        <v>4565071.902456874</v>
      </c>
      <c r="X51" s="28">
        <v>4089494.3577875877</v>
      </c>
      <c r="Y51" s="28">
        <v>2686558.7164991163</v>
      </c>
    </row>
    <row r="52" spans="15:25" x14ac:dyDescent="0.2">
      <c r="O52" s="8">
        <v>50</v>
      </c>
      <c r="P52" s="28">
        <v>4338748.2839111127</v>
      </c>
      <c r="Q52" s="28">
        <v>3597561.2169629605</v>
      </c>
      <c r="R52" s="28">
        <v>3855759.8495903704</v>
      </c>
      <c r="S52" s="28">
        <v>3152534.7543941615</v>
      </c>
      <c r="T52" s="28">
        <v>3749131.053777819</v>
      </c>
      <c r="U52" s="28">
        <v>3159519.4632692556</v>
      </c>
      <c r="V52" s="28">
        <v>2614317.919272603</v>
      </c>
      <c r="W52" s="28">
        <v>5456773.6187246498</v>
      </c>
      <c r="X52" s="28">
        <v>3387743.3306739144</v>
      </c>
      <c r="Y52" s="28">
        <v>3457744.7325824481</v>
      </c>
    </row>
    <row r="53" spans="15:25" x14ac:dyDescent="0.2">
      <c r="O53" s="8">
        <v>51</v>
      </c>
      <c r="P53" s="28">
        <v>3722868.898403124</v>
      </c>
      <c r="Q53" s="28">
        <v>3901947.7041581771</v>
      </c>
      <c r="R53" s="28">
        <v>4517911.0893321773</v>
      </c>
      <c r="S53" s="28">
        <v>3724086.1169744954</v>
      </c>
      <c r="T53" s="28">
        <v>3464864.4143876545</v>
      </c>
      <c r="U53" s="28">
        <v>2499233.4395015691</v>
      </c>
      <c r="V53" s="28">
        <v>3501666.8305379632</v>
      </c>
      <c r="W53" s="28">
        <v>4548060.996107636</v>
      </c>
      <c r="X53" s="28">
        <v>2405174.1920554703</v>
      </c>
      <c r="Y53" s="28">
        <v>4234240.9206419643</v>
      </c>
    </row>
    <row r="54" spans="15:25" x14ac:dyDescent="0.2">
      <c r="O54" s="8">
        <v>52</v>
      </c>
      <c r="P54" s="28">
        <v>4689437.5088399872</v>
      </c>
      <c r="Q54" s="28">
        <v>2778058.9120935411</v>
      </c>
      <c r="R54" s="28">
        <v>3282664.1405813624</v>
      </c>
      <c r="S54" s="28">
        <v>3368855.0886322912</v>
      </c>
      <c r="T54" s="28">
        <v>3464873.4386497093</v>
      </c>
      <c r="U54" s="28">
        <v>2844325.9442518489</v>
      </c>
      <c r="V54" s="28">
        <v>2890836.6096521518</v>
      </c>
      <c r="W54" s="28">
        <v>5684827.7587698046</v>
      </c>
      <c r="X54" s="28">
        <v>2960717.4523513941</v>
      </c>
      <c r="Y54" s="28">
        <v>2946624.6217785273</v>
      </c>
    </row>
    <row r="55" spans="15:25" x14ac:dyDescent="0.2">
      <c r="O55" s="8">
        <v>53</v>
      </c>
      <c r="P55" s="28">
        <v>2861238.6355685582</v>
      </c>
      <c r="Q55" s="28">
        <v>3089086.6764290063</v>
      </c>
      <c r="R55" s="28">
        <v>2285848.6613284713</v>
      </c>
      <c r="S55" s="28">
        <v>4200688.9989658175</v>
      </c>
      <c r="T55" s="28">
        <v>4213378.3069499033</v>
      </c>
      <c r="U55" s="28">
        <v>4967489.9664788116</v>
      </c>
      <c r="V55" s="28">
        <v>2941776.1695319167</v>
      </c>
      <c r="W55" s="28">
        <v>2920885.6499089794</v>
      </c>
      <c r="X55" s="28">
        <v>3049323.1755302716</v>
      </c>
      <c r="Y55" s="28">
        <v>3332123.5171414507</v>
      </c>
    </row>
    <row r="56" spans="15:25" x14ac:dyDescent="0.2">
      <c r="O56" s="8">
        <v>54</v>
      </c>
      <c r="P56" s="28">
        <v>2371856.1582654477</v>
      </c>
      <c r="Q56" s="28">
        <v>3228857.9544259114</v>
      </c>
      <c r="R56" s="28">
        <v>5097764.3820775328</v>
      </c>
      <c r="S56" s="28">
        <v>2857361.5963777136</v>
      </c>
      <c r="T56" s="28">
        <v>3599417.0939606447</v>
      </c>
      <c r="U56" s="28">
        <v>3182917.1542993258</v>
      </c>
      <c r="V56" s="28">
        <v>3563537.0830600681</v>
      </c>
      <c r="W56" s="28">
        <v>3560805.7985139787</v>
      </c>
      <c r="X56" s="28">
        <v>4022994.6070529195</v>
      </c>
      <c r="Y56" s="28">
        <v>3658735.0388802132</v>
      </c>
    </row>
    <row r="57" spans="15:25" x14ac:dyDescent="0.2">
      <c r="O57" s="8">
        <v>55</v>
      </c>
      <c r="P57" s="28">
        <v>3102462.6558014052</v>
      </c>
      <c r="Q57" s="28">
        <v>2952484.5178387482</v>
      </c>
      <c r="R57" s="28">
        <v>2546152.4645203305</v>
      </c>
      <c r="S57" s="28">
        <v>5415623.689367326</v>
      </c>
      <c r="T57" s="28">
        <v>4101973.419327491</v>
      </c>
      <c r="U57" s="28">
        <v>3993190.3899645498</v>
      </c>
      <c r="V57" s="28">
        <v>3137790.1582156965</v>
      </c>
      <c r="W57" s="28">
        <v>4282647.9727042522</v>
      </c>
      <c r="X57" s="28">
        <v>4281866.2371155266</v>
      </c>
      <c r="Y57" s="28">
        <v>4018138.718365463</v>
      </c>
    </row>
    <row r="58" spans="15:25" x14ac:dyDescent="0.2">
      <c r="O58" s="8">
        <v>56</v>
      </c>
      <c r="P58" s="28">
        <v>2915940.4987250934</v>
      </c>
      <c r="Q58" s="28">
        <v>3324514.1801020615</v>
      </c>
      <c r="R58" s="28">
        <v>2726472.4294509105</v>
      </c>
      <c r="S58" s="28">
        <v>3576768.9036883125</v>
      </c>
      <c r="T58" s="28">
        <v>3004440.3176499233</v>
      </c>
      <c r="U58" s="28">
        <v>2442569.6591702588</v>
      </c>
      <c r="V58" s="28">
        <v>3193983.0682306262</v>
      </c>
      <c r="W58" s="28">
        <v>3203118.9200452319</v>
      </c>
      <c r="X58" s="28">
        <v>4367968.73143618</v>
      </c>
      <c r="Y58" s="28">
        <v>3733456.6757127987</v>
      </c>
    </row>
    <row r="59" spans="15:25" x14ac:dyDescent="0.2">
      <c r="O59" s="8">
        <v>57</v>
      </c>
      <c r="P59" s="28">
        <v>2934957.2285187189</v>
      </c>
      <c r="Q59" s="28">
        <v>3388186.0526462984</v>
      </c>
      <c r="R59" s="28">
        <v>3313415.2892514495</v>
      </c>
      <c r="S59" s="28">
        <v>3836291.3020833889</v>
      </c>
      <c r="T59" s="28">
        <v>3563745.8320029536</v>
      </c>
      <c r="U59" s="28">
        <v>3102288.531287156</v>
      </c>
      <c r="V59" s="28">
        <v>3632609.5225535119</v>
      </c>
      <c r="W59" s="28">
        <v>2931322.4910895289</v>
      </c>
      <c r="X59" s="28">
        <v>3427088.1895514103</v>
      </c>
      <c r="Y59" s="28">
        <v>2953774.072235113</v>
      </c>
    </row>
    <row r="60" spans="15:25" x14ac:dyDescent="0.2">
      <c r="O60" s="8">
        <v>58</v>
      </c>
      <c r="P60" s="28">
        <v>2921071.9232788044</v>
      </c>
      <c r="Q60" s="28">
        <v>3994077.8036287744</v>
      </c>
      <c r="R60" s="28">
        <v>3929593.6968323328</v>
      </c>
      <c r="S60" s="28">
        <v>3284796.9463764722</v>
      </c>
      <c r="T60" s="28">
        <v>4167797.3365108878</v>
      </c>
      <c r="U60" s="28">
        <v>3386036.294672892</v>
      </c>
      <c r="V60" s="28">
        <v>4477885.163576684</v>
      </c>
      <c r="W60" s="28">
        <v>4049296.0626147422</v>
      </c>
      <c r="X60" s="28">
        <v>3962057.3319552843</v>
      </c>
      <c r="Y60" s="28">
        <v>3894986.2776517561</v>
      </c>
    </row>
    <row r="61" spans="15:25" x14ac:dyDescent="0.2">
      <c r="O61" s="8">
        <v>59</v>
      </c>
      <c r="P61" s="28">
        <v>3861754.34139264</v>
      </c>
      <c r="Q61" s="28">
        <v>4186994.0806438075</v>
      </c>
      <c r="R61" s="28">
        <v>3541884.3294773023</v>
      </c>
      <c r="S61" s="28">
        <v>3425661.0676047462</v>
      </c>
      <c r="T61" s="28">
        <v>3333028.2869010544</v>
      </c>
      <c r="U61" s="28">
        <v>2404687.8926392631</v>
      </c>
      <c r="V61" s="28">
        <v>3519727.0166255692</v>
      </c>
      <c r="W61" s="28">
        <v>3672171.4227389419</v>
      </c>
      <c r="X61" s="28">
        <v>3954582.0509158922</v>
      </c>
      <c r="Y61" s="28">
        <v>2851168.9601573646</v>
      </c>
    </row>
    <row r="62" spans="15:25" x14ac:dyDescent="0.2">
      <c r="O62" s="8">
        <v>60</v>
      </c>
      <c r="P62" s="28">
        <v>5435957.2687384663</v>
      </c>
      <c r="Q62" s="28">
        <v>2353433.3955398835</v>
      </c>
      <c r="R62" s="28">
        <v>4154005.4752327278</v>
      </c>
      <c r="S62" s="28">
        <v>3533195.7447556616</v>
      </c>
      <c r="T62" s="28">
        <v>4377122.582709535</v>
      </c>
      <c r="U62" s="28">
        <v>2884210.7359841415</v>
      </c>
      <c r="V62" s="28">
        <v>4611502.3964139335</v>
      </c>
      <c r="W62" s="28">
        <v>3746094.5918759694</v>
      </c>
      <c r="X62" s="28">
        <v>3812564.3539487477</v>
      </c>
      <c r="Y62" s="28">
        <v>4767839.762002713</v>
      </c>
    </row>
    <row r="63" spans="15:25" x14ac:dyDescent="0.2">
      <c r="O63" s="8">
        <v>61</v>
      </c>
      <c r="P63" s="28">
        <v>4070952.265967411</v>
      </c>
      <c r="Q63" s="28">
        <v>3802967.8354717456</v>
      </c>
      <c r="R63" s="28">
        <v>3562444.9896661649</v>
      </c>
      <c r="S63" s="28">
        <v>2971833.2714763745</v>
      </c>
      <c r="T63" s="28">
        <v>3123038.0279056667</v>
      </c>
      <c r="U63" s="28">
        <v>3368993.3021217226</v>
      </c>
      <c r="V63" s="28">
        <v>3552277.4229318863</v>
      </c>
      <c r="W63" s="28">
        <v>4325696.1157774478</v>
      </c>
      <c r="X63" s="28">
        <v>2289651.2251838562</v>
      </c>
      <c r="Y63" s="28">
        <v>4631346.9213342816</v>
      </c>
    </row>
    <row r="64" spans="15:25" x14ac:dyDescent="0.2">
      <c r="O64" s="8">
        <v>62</v>
      </c>
      <c r="P64" s="28">
        <v>4503403.9090144541</v>
      </c>
      <c r="Q64" s="28">
        <v>4829395.9534430839</v>
      </c>
      <c r="R64" s="28">
        <v>3480145.7923960402</v>
      </c>
      <c r="S64" s="28">
        <v>2779418.1672554533</v>
      </c>
      <c r="T64" s="28">
        <v>3081522.1370151318</v>
      </c>
      <c r="U64" s="28">
        <v>3754541.725266418</v>
      </c>
      <c r="V64" s="28">
        <v>4226428.6458231434</v>
      </c>
      <c r="W64" s="28">
        <v>3545002.2622856488</v>
      </c>
      <c r="X64" s="28">
        <v>3914036.6439164751</v>
      </c>
      <c r="Y64" s="28">
        <v>4497466.6215644954</v>
      </c>
    </row>
    <row r="65" spans="15:25" x14ac:dyDescent="0.2">
      <c r="O65" s="8">
        <v>63</v>
      </c>
      <c r="P65" s="28">
        <v>4165411.8595584896</v>
      </c>
      <c r="Q65" s="28">
        <v>2814000.9297424699</v>
      </c>
      <c r="R65" s="28">
        <v>4604553.8751650751</v>
      </c>
      <c r="S65" s="28">
        <v>3952127.8516423302</v>
      </c>
      <c r="T65" s="28">
        <v>2832805.903350899</v>
      </c>
      <c r="U65" s="28">
        <v>3529465.1825404372</v>
      </c>
      <c r="V65" s="28">
        <v>3377061.7848924543</v>
      </c>
      <c r="W65" s="28">
        <v>3467866.3134245281</v>
      </c>
      <c r="X65" s="28">
        <v>2593601.4047506875</v>
      </c>
      <c r="Y65" s="28">
        <v>3385223.6987504088</v>
      </c>
    </row>
    <row r="66" spans="15:25" x14ac:dyDescent="0.2">
      <c r="O66" s="8">
        <v>64</v>
      </c>
      <c r="P66" s="28">
        <v>2504848.0525246211</v>
      </c>
      <c r="Q66" s="28">
        <v>2976983.8348221486</v>
      </c>
      <c r="R66" s="28">
        <v>3194657.2792159216</v>
      </c>
      <c r="S66" s="28">
        <v>2892744.4144857395</v>
      </c>
      <c r="T66" s="28">
        <v>4552643.9329266995</v>
      </c>
      <c r="U66" s="28">
        <v>4121639.3141490179</v>
      </c>
      <c r="V66" s="28">
        <v>2901251.4329543901</v>
      </c>
      <c r="W66" s="28">
        <v>3050081.2252701535</v>
      </c>
      <c r="X66" s="28">
        <v>3752532.0653971182</v>
      </c>
      <c r="Y66" s="28">
        <v>2089976.3643926834</v>
      </c>
    </row>
    <row r="67" spans="15:25" x14ac:dyDescent="0.2">
      <c r="O67" s="8">
        <v>65</v>
      </c>
      <c r="P67" s="28">
        <v>4385085.549541424</v>
      </c>
      <c r="Q67" s="28">
        <v>3411894.5374401743</v>
      </c>
      <c r="R67" s="28">
        <v>3191474.4326473125</v>
      </c>
      <c r="S67" s="28">
        <v>3134578.6552211037</v>
      </c>
      <c r="T67" s="28">
        <v>2779343.848316553</v>
      </c>
      <c r="U67" s="28">
        <v>3385002.2249641391</v>
      </c>
      <c r="V67" s="28">
        <v>3514650.9918159903</v>
      </c>
      <c r="W67" s="28">
        <v>5958772.0366778746</v>
      </c>
      <c r="X67" s="28">
        <v>2532945.8895875365</v>
      </c>
      <c r="Y67" s="28">
        <v>3372259.8300979072</v>
      </c>
    </row>
    <row r="68" spans="15:25" x14ac:dyDescent="0.2">
      <c r="O68" s="8">
        <v>66</v>
      </c>
      <c r="P68" s="28">
        <v>3651090.0128081171</v>
      </c>
      <c r="Q68" s="28">
        <v>4711457.3686287114</v>
      </c>
      <c r="R68" s="28">
        <v>2991327.9108777554</v>
      </c>
      <c r="S68" s="28">
        <v>3442757.1655313494</v>
      </c>
      <c r="T68" s="28">
        <v>3423834.0230773455</v>
      </c>
      <c r="U68" s="28">
        <v>3208895.3925101529</v>
      </c>
      <c r="V68" s="28">
        <v>3621329.6231684866</v>
      </c>
      <c r="W68" s="28">
        <v>2866590.1879309695</v>
      </c>
      <c r="X68" s="28">
        <v>2630890.933824135</v>
      </c>
      <c r="Y68" s="28">
        <v>3906840.7016298841</v>
      </c>
    </row>
    <row r="69" spans="15:25" x14ac:dyDescent="0.2">
      <c r="O69" s="8">
        <v>67</v>
      </c>
      <c r="P69" s="28">
        <v>2852833.3340552207</v>
      </c>
      <c r="Q69" s="28">
        <v>2750409.7569580385</v>
      </c>
      <c r="R69" s="28">
        <v>3463182.5304471673</v>
      </c>
      <c r="S69" s="28">
        <v>4106360.3925457723</v>
      </c>
      <c r="T69" s="28">
        <v>4349376.3185626855</v>
      </c>
      <c r="U69" s="28">
        <v>4004755.7136294581</v>
      </c>
      <c r="V69" s="28">
        <v>3550631.8660277594</v>
      </c>
      <c r="W69" s="28">
        <v>3593761.326726763</v>
      </c>
      <c r="X69" s="28">
        <v>2667092.2714003287</v>
      </c>
      <c r="Y69" s="28">
        <v>3263314.1011428945</v>
      </c>
    </row>
    <row r="70" spans="15:25" x14ac:dyDescent="0.2">
      <c r="O70" s="8">
        <v>68</v>
      </c>
      <c r="P70" s="28">
        <v>2752397.0762762595</v>
      </c>
      <c r="Q70" s="28">
        <v>2483474.3829255444</v>
      </c>
      <c r="R70" s="28">
        <v>5225410.7060633823</v>
      </c>
      <c r="S70" s="28">
        <v>3571063.7791533889</v>
      </c>
      <c r="T70" s="28">
        <v>3707485.274566052</v>
      </c>
      <c r="U70" s="28">
        <v>1851529.413252393</v>
      </c>
      <c r="V70" s="28">
        <v>2785897.4696958722</v>
      </c>
      <c r="W70" s="28">
        <v>2746642.6856994987</v>
      </c>
      <c r="X70" s="28">
        <v>4206015.0073241247</v>
      </c>
      <c r="Y70" s="28">
        <v>2768616.3821917679</v>
      </c>
    </row>
    <row r="71" spans="15:25" x14ac:dyDescent="0.2">
      <c r="O71" s="8">
        <v>69</v>
      </c>
      <c r="P71" s="28">
        <v>5857762.3100329638</v>
      </c>
      <c r="Q71" s="28">
        <v>4457191.9739222117</v>
      </c>
      <c r="R71" s="28">
        <v>2136457.0333791557</v>
      </c>
      <c r="S71" s="28">
        <v>3733833.1130639249</v>
      </c>
      <c r="T71" s="28">
        <v>2702760.1112315794</v>
      </c>
      <c r="U71" s="28">
        <v>2710875.6563998745</v>
      </c>
      <c r="V71" s="28">
        <v>5384038.9880188555</v>
      </c>
      <c r="W71" s="28">
        <v>3899684.8494661842</v>
      </c>
      <c r="X71" s="28">
        <v>5252535.9530138178</v>
      </c>
      <c r="Y71" s="28">
        <v>3892576.3489268571</v>
      </c>
    </row>
    <row r="72" spans="15:25" x14ac:dyDescent="0.2">
      <c r="O72" s="8">
        <v>70</v>
      </c>
      <c r="P72" s="28">
        <v>2771040.5878862431</v>
      </c>
      <c r="Q72" s="28">
        <v>2843158.8329249388</v>
      </c>
      <c r="R72" s="28">
        <v>3090342.0220206673</v>
      </c>
      <c r="S72" s="28">
        <v>4285924.1266623382</v>
      </c>
      <c r="T72" s="28">
        <v>3957856.4701109529</v>
      </c>
      <c r="U72" s="28">
        <v>2975603.9601196321</v>
      </c>
      <c r="V72" s="28">
        <v>3251013.6468874337</v>
      </c>
      <c r="W72" s="28">
        <v>5034728.7800261583</v>
      </c>
      <c r="X72" s="28">
        <v>3791778.3051969269</v>
      </c>
      <c r="Y72" s="28">
        <v>3473342.6681564301</v>
      </c>
    </row>
    <row r="73" spans="15:25" x14ac:dyDescent="0.2">
      <c r="O73" s="8">
        <v>71</v>
      </c>
      <c r="P73" s="28">
        <v>3898852.2091341834</v>
      </c>
      <c r="Q73" s="28">
        <v>3717780.9842000417</v>
      </c>
      <c r="R73" s="28">
        <v>3819168.5134568671</v>
      </c>
      <c r="S73" s="28">
        <v>3329271.2204342093</v>
      </c>
      <c r="T73" s="28">
        <v>2465417.8122315048</v>
      </c>
      <c r="U73" s="28">
        <v>3313713.9688086137</v>
      </c>
      <c r="V73" s="28">
        <v>3743982.1165613215</v>
      </c>
      <c r="W73" s="28">
        <v>4814753.7354917377</v>
      </c>
      <c r="X73" s="28">
        <v>3769331.5237105647</v>
      </c>
      <c r="Y73" s="28">
        <v>2493444.552940933</v>
      </c>
    </row>
    <row r="74" spans="15:25" x14ac:dyDescent="0.2">
      <c r="O74" s="8">
        <v>72</v>
      </c>
      <c r="P74" s="28">
        <v>4777679.8690957054</v>
      </c>
      <c r="Q74" s="28">
        <v>4888158.2777832104</v>
      </c>
      <c r="R74" s="28">
        <v>3940649.7603209876</v>
      </c>
      <c r="S74" s="28">
        <v>3370006.8849732624</v>
      </c>
      <c r="T74" s="28">
        <v>4791936.6587014487</v>
      </c>
      <c r="U74" s="28">
        <v>3480350.9278567038</v>
      </c>
      <c r="V74" s="28">
        <v>3979516.9779663589</v>
      </c>
      <c r="W74" s="28">
        <v>3016558.4842169154</v>
      </c>
      <c r="X74" s="28">
        <v>3132754.3793433146</v>
      </c>
      <c r="Y74" s="28">
        <v>3678549.0306099975</v>
      </c>
    </row>
    <row r="75" spans="15:25" x14ac:dyDescent="0.2">
      <c r="O75" s="8">
        <v>73</v>
      </c>
      <c r="P75" s="28">
        <v>3481877.4390165722</v>
      </c>
      <c r="Q75" s="28">
        <v>4439430.5353930965</v>
      </c>
      <c r="R75" s="28">
        <v>3781315.3152672322</v>
      </c>
      <c r="S75" s="28">
        <v>4635587.7764880033</v>
      </c>
      <c r="T75" s="28">
        <v>3723463.1747467327</v>
      </c>
      <c r="U75" s="28">
        <v>3554973.2983622788</v>
      </c>
      <c r="V75" s="28">
        <v>3570089.6621579742</v>
      </c>
      <c r="W75" s="28">
        <v>2492355.9383869465</v>
      </c>
      <c r="X75" s="28">
        <v>2069317.6468508665</v>
      </c>
      <c r="Y75" s="28">
        <v>3058313.6417238656</v>
      </c>
    </row>
    <row r="76" spans="15:25" x14ac:dyDescent="0.2">
      <c r="O76" s="8">
        <v>74</v>
      </c>
      <c r="P76" s="28">
        <v>3472090.280336915</v>
      </c>
      <c r="Q76" s="28">
        <v>4204666.4609617675</v>
      </c>
      <c r="R76" s="28">
        <v>4458790.7540529706</v>
      </c>
      <c r="S76" s="28">
        <v>3735390.897991085</v>
      </c>
      <c r="T76" s="28">
        <v>4131243.7451918838</v>
      </c>
      <c r="U76" s="28">
        <v>3474512.4451977406</v>
      </c>
      <c r="V76" s="28">
        <v>2755180.4790837979</v>
      </c>
      <c r="W76" s="28">
        <v>3395947.3881039307</v>
      </c>
      <c r="X76" s="28">
        <v>4336375.7132336944</v>
      </c>
      <c r="Y76" s="28">
        <v>4357774.4396301992</v>
      </c>
    </row>
    <row r="77" spans="15:25" x14ac:dyDescent="0.2">
      <c r="O77" s="8">
        <v>75</v>
      </c>
      <c r="P77" s="28">
        <v>3028165.4740340863</v>
      </c>
      <c r="Q77" s="28">
        <v>3127057.9548791363</v>
      </c>
      <c r="R77" s="28">
        <v>2236410.8373830905</v>
      </c>
      <c r="S77" s="28">
        <v>4571521.9075405421</v>
      </c>
      <c r="T77" s="28">
        <v>4236649.5876634903</v>
      </c>
      <c r="U77" s="28">
        <v>4837495.6090416508</v>
      </c>
      <c r="V77" s="28">
        <v>4325775.180416205</v>
      </c>
      <c r="W77" s="28">
        <v>3371000.825319252</v>
      </c>
      <c r="X77" s="28">
        <v>4025476.9428715548</v>
      </c>
      <c r="Y77" s="28">
        <v>4175147.4922029241</v>
      </c>
    </row>
    <row r="78" spans="15:25" x14ac:dyDescent="0.2">
      <c r="O78" s="8">
        <v>76</v>
      </c>
      <c r="P78" s="28">
        <v>3376006.1713774204</v>
      </c>
      <c r="Q78" s="28">
        <v>5102821.519923768</v>
      </c>
      <c r="R78" s="28">
        <v>3414742.1297801514</v>
      </c>
      <c r="S78" s="28">
        <v>4888968.9605496768</v>
      </c>
      <c r="T78" s="28">
        <v>4939287.9234259771</v>
      </c>
      <c r="U78" s="28">
        <v>3359346.0057846415</v>
      </c>
      <c r="V78" s="28">
        <v>2363012.3154146564</v>
      </c>
      <c r="W78" s="28">
        <v>3126268.465873694</v>
      </c>
      <c r="X78" s="28">
        <v>3182703.9828062672</v>
      </c>
      <c r="Y78" s="28">
        <v>3777686.9518930097</v>
      </c>
    </row>
    <row r="79" spans="15:25" x14ac:dyDescent="0.2">
      <c r="O79" s="8">
        <v>77</v>
      </c>
      <c r="P79" s="28">
        <v>4079449.1039833762</v>
      </c>
      <c r="Q79" s="28">
        <v>3636711.6123323166</v>
      </c>
      <c r="R79" s="28">
        <v>2913685.1591004524</v>
      </c>
      <c r="S79" s="28">
        <v>2879088.2072618045</v>
      </c>
      <c r="T79" s="28">
        <v>3587470.8519315231</v>
      </c>
      <c r="U79" s="28">
        <v>5563097.4320424544</v>
      </c>
      <c r="V79" s="28">
        <v>4143281.2174605182</v>
      </c>
      <c r="W79" s="28">
        <v>3814745.7771694446</v>
      </c>
      <c r="X79" s="28">
        <v>3641957.4187345998</v>
      </c>
      <c r="Y79" s="28">
        <v>4031032.3503614329</v>
      </c>
    </row>
    <row r="80" spans="15:25" x14ac:dyDescent="0.2">
      <c r="O80" s="8">
        <v>78</v>
      </c>
      <c r="P80" s="28">
        <v>3963012.6779138157</v>
      </c>
      <c r="Q80" s="28">
        <v>3384293.3459537579</v>
      </c>
      <c r="R80" s="28">
        <v>4235259.7981457617</v>
      </c>
      <c r="S80" s="28">
        <v>4430468.0944439461</v>
      </c>
      <c r="T80" s="28">
        <v>4591259.9132347442</v>
      </c>
      <c r="U80" s="28">
        <v>4148138.7568012862</v>
      </c>
      <c r="V80" s="28">
        <v>4074036.8316612737</v>
      </c>
      <c r="W80" s="28">
        <v>2769594.3547153752</v>
      </c>
      <c r="X80" s="28">
        <v>4272991.6997007355</v>
      </c>
      <c r="Y80" s="28">
        <v>4360242.8129824493</v>
      </c>
    </row>
    <row r="81" spans="15:25" x14ac:dyDescent="0.2">
      <c r="O81" s="8">
        <v>79</v>
      </c>
      <c r="P81" s="28">
        <v>3591125.6316281585</v>
      </c>
      <c r="Q81" s="28">
        <v>3599243.8314175722</v>
      </c>
      <c r="R81" s="28">
        <v>2984477.4395476286</v>
      </c>
      <c r="S81" s="28">
        <v>3825133.3903138498</v>
      </c>
      <c r="T81" s="28">
        <v>3753896.9168595588</v>
      </c>
      <c r="U81" s="28">
        <v>3080390.4852119219</v>
      </c>
      <c r="V81" s="28">
        <v>4577500.7311046366</v>
      </c>
      <c r="W81" s="28">
        <v>3036988.9400009317</v>
      </c>
      <c r="X81" s="28">
        <v>4279190.1037929561</v>
      </c>
      <c r="Y81" s="28">
        <v>3185487.9927458097</v>
      </c>
    </row>
    <row r="82" spans="15:25" x14ac:dyDescent="0.2">
      <c r="O82" s="8">
        <v>80</v>
      </c>
      <c r="P82" s="28">
        <v>3179270.5270852312</v>
      </c>
      <c r="Q82" s="28">
        <v>3715614.9969575489</v>
      </c>
      <c r="R82" s="28">
        <v>4535187.3387067821</v>
      </c>
      <c r="S82" s="28">
        <v>3556433.3385626664</v>
      </c>
      <c r="T82" s="28">
        <v>2449616.1976517327</v>
      </c>
      <c r="U82" s="28">
        <v>5050869.69642956</v>
      </c>
      <c r="V82" s="28">
        <v>3492957.2323325649</v>
      </c>
      <c r="W82" s="28">
        <v>4419983.0349598592</v>
      </c>
      <c r="X82" s="28">
        <v>3440931.4178485768</v>
      </c>
      <c r="Y82" s="28">
        <v>3023494.9387109056</v>
      </c>
    </row>
    <row r="83" spans="15:25" x14ac:dyDescent="0.2">
      <c r="O83" s="8">
        <v>81</v>
      </c>
      <c r="P83" s="28">
        <v>2743117.766115183</v>
      </c>
      <c r="Q83" s="28">
        <v>4413320.3990911972</v>
      </c>
      <c r="R83" s="28">
        <v>5170679.4152059378</v>
      </c>
      <c r="S83" s="28">
        <v>4083293.0137040704</v>
      </c>
      <c r="T83" s="28">
        <v>3290353.4775301456</v>
      </c>
      <c r="U83" s="28">
        <v>3590191.5340127032</v>
      </c>
      <c r="V83" s="28">
        <v>3192832.1443363815</v>
      </c>
      <c r="W83" s="28">
        <v>3966965.0708759162</v>
      </c>
      <c r="X83" s="28">
        <v>3762051.8221018864</v>
      </c>
      <c r="Y83" s="28">
        <v>2524642.6508066524</v>
      </c>
    </row>
    <row r="84" spans="15:25" x14ac:dyDescent="0.2">
      <c r="O84" s="8">
        <v>82</v>
      </c>
      <c r="P84" s="28">
        <v>3701915.3359288569</v>
      </c>
      <c r="Q84" s="28">
        <v>4437600.3756896388</v>
      </c>
      <c r="R84" s="28">
        <v>3290922.0005960879</v>
      </c>
      <c r="S84" s="28">
        <v>3913705.0088529182</v>
      </c>
      <c r="T84" s="28">
        <v>3598379.1606755974</v>
      </c>
      <c r="U84" s="28">
        <v>4172943.5219371021</v>
      </c>
      <c r="V84" s="28">
        <v>3073148.3715901566</v>
      </c>
      <c r="W84" s="28">
        <v>2612538.7641166942</v>
      </c>
      <c r="X84" s="28">
        <v>3628603.2004490299</v>
      </c>
      <c r="Y84" s="28">
        <v>2497223.9663158497</v>
      </c>
    </row>
    <row r="85" spans="15:25" x14ac:dyDescent="0.2">
      <c r="O85" s="8">
        <v>83</v>
      </c>
      <c r="P85" s="28">
        <v>3179205.2323429743</v>
      </c>
      <c r="Q85" s="28">
        <v>4193126.4271966433</v>
      </c>
      <c r="R85" s="28">
        <v>2659990.5146648702</v>
      </c>
      <c r="S85" s="28">
        <v>4093952.2124869805</v>
      </c>
      <c r="T85" s="28">
        <v>3051755.1884283391</v>
      </c>
      <c r="U85" s="28">
        <v>3708381.6061116923</v>
      </c>
      <c r="V85" s="28">
        <v>3065418.8214432644</v>
      </c>
      <c r="W85" s="28">
        <v>3908538.1690289918</v>
      </c>
      <c r="X85" s="28">
        <v>3372046.9770892523</v>
      </c>
      <c r="Y85" s="28">
        <v>4077849.9588315794</v>
      </c>
    </row>
    <row r="86" spans="15:25" x14ac:dyDescent="0.2">
      <c r="O86" s="8">
        <v>84</v>
      </c>
      <c r="P86" s="28">
        <v>4472816.9034811128</v>
      </c>
      <c r="Q86" s="28">
        <v>3082957.6721405671</v>
      </c>
      <c r="R86" s="28">
        <v>2568029.3127686875</v>
      </c>
      <c r="S86" s="28">
        <v>4287637.2601108309</v>
      </c>
      <c r="T86" s="28">
        <v>3048256.0928653255</v>
      </c>
      <c r="U86" s="28">
        <v>2901715.8443367574</v>
      </c>
      <c r="V86" s="28">
        <v>3802722.9823510125</v>
      </c>
      <c r="W86" s="28">
        <v>3949779.7007916626</v>
      </c>
      <c r="X86" s="28">
        <v>3765627.6510228305</v>
      </c>
      <c r="Y86" s="28">
        <v>3699008.6293707266</v>
      </c>
    </row>
    <row r="87" spans="15:25" x14ac:dyDescent="0.2">
      <c r="O87" s="8">
        <v>85</v>
      </c>
      <c r="P87" s="28">
        <v>4031057.3401033543</v>
      </c>
      <c r="Q87" s="28">
        <v>3064522.8197497213</v>
      </c>
      <c r="R87" s="28">
        <v>2591199.2208611993</v>
      </c>
      <c r="S87" s="28">
        <v>3848906.5301314653</v>
      </c>
      <c r="T87" s="28">
        <v>4880909.6732520154</v>
      </c>
      <c r="U87" s="28">
        <v>5168809.3630663529</v>
      </c>
      <c r="V87" s="28">
        <v>3905201.413904977</v>
      </c>
      <c r="W87" s="28">
        <v>4385336.8364760643</v>
      </c>
      <c r="X87" s="28">
        <v>3535689.7607445135</v>
      </c>
      <c r="Y87" s="28">
        <v>2799472.917362771</v>
      </c>
    </row>
    <row r="88" spans="15:25" x14ac:dyDescent="0.2">
      <c r="O88" s="8">
        <v>86</v>
      </c>
      <c r="P88" s="28">
        <v>4586953.5644286582</v>
      </c>
      <c r="Q88" s="28">
        <v>3154491.520079792</v>
      </c>
      <c r="R88" s="28">
        <v>3432129.7501769508</v>
      </c>
      <c r="S88" s="28">
        <v>2579021.8945674868</v>
      </c>
      <c r="T88" s="28">
        <v>3788709.4333397066</v>
      </c>
      <c r="U88" s="28">
        <v>4249594.1421408858</v>
      </c>
      <c r="V88" s="28">
        <v>4189762.2030922743</v>
      </c>
      <c r="W88" s="28">
        <v>3040728.5427101916</v>
      </c>
      <c r="X88" s="28">
        <v>2355194.7799527831</v>
      </c>
      <c r="Y88" s="28">
        <v>3678791.8395279194</v>
      </c>
    </row>
    <row r="89" spans="15:25" x14ac:dyDescent="0.2">
      <c r="O89" s="8">
        <v>87</v>
      </c>
      <c r="P89" s="28">
        <v>3515977.8631572458</v>
      </c>
      <c r="Q89" s="28">
        <v>3775905.7910450115</v>
      </c>
      <c r="R89" s="28">
        <v>3583805.541694412</v>
      </c>
      <c r="S89" s="28">
        <v>4946712.5565372547</v>
      </c>
      <c r="T89" s="28">
        <v>3490839.2206068831</v>
      </c>
      <c r="U89" s="28">
        <v>3837833.3964489624</v>
      </c>
      <c r="V89" s="28">
        <v>3081239.432132788</v>
      </c>
      <c r="W89" s="28">
        <v>3781501.7299741497</v>
      </c>
      <c r="X89" s="28">
        <v>4037714.8431741381</v>
      </c>
      <c r="Y89" s="28">
        <v>5522921.4984045215</v>
      </c>
    </row>
    <row r="90" spans="15:25" x14ac:dyDescent="0.2">
      <c r="O90" s="8">
        <v>88</v>
      </c>
      <c r="P90" s="28">
        <v>3468533.5635824911</v>
      </c>
      <c r="Q90" s="28">
        <v>3417034.441801358</v>
      </c>
      <c r="R90" s="28">
        <v>4691405.1177356085</v>
      </c>
      <c r="S90" s="28">
        <v>4140700.4203184638</v>
      </c>
      <c r="T90" s="28">
        <v>3175537.3466655212</v>
      </c>
      <c r="U90" s="28">
        <v>3726537.0870147068</v>
      </c>
      <c r="V90" s="28">
        <v>3543077.654477044</v>
      </c>
      <c r="W90" s="28">
        <v>4638279.7121715965</v>
      </c>
      <c r="X90" s="28">
        <v>4692292.3913364187</v>
      </c>
      <c r="Y90" s="28">
        <v>3651586.3743885215</v>
      </c>
    </row>
    <row r="91" spans="15:25" x14ac:dyDescent="0.2">
      <c r="O91" s="8">
        <v>89</v>
      </c>
      <c r="P91" s="28">
        <v>3550358.6741691655</v>
      </c>
      <c r="Q91" s="28">
        <v>3180743.8583971784</v>
      </c>
      <c r="R91" s="28">
        <v>3286342.5041048424</v>
      </c>
      <c r="S91" s="28">
        <v>4615722.3974156259</v>
      </c>
      <c r="T91" s="28">
        <v>3684528.4644533908</v>
      </c>
      <c r="U91" s="28">
        <v>3825942.5547512732</v>
      </c>
      <c r="V91" s="28">
        <v>3401936.2692590412</v>
      </c>
      <c r="W91" s="28">
        <v>2746344.2950921739</v>
      </c>
      <c r="X91" s="28">
        <v>3259209.9966060487</v>
      </c>
      <c r="Y91" s="28">
        <v>3999962.7485737149</v>
      </c>
    </row>
    <row r="92" spans="15:25" x14ac:dyDescent="0.2">
      <c r="O92" s="8">
        <v>90</v>
      </c>
      <c r="P92" s="28">
        <v>3731006.7325263922</v>
      </c>
      <c r="Q92" s="28">
        <v>3647657.0708830031</v>
      </c>
      <c r="R92" s="28">
        <v>2514506.0229336703</v>
      </c>
      <c r="S92" s="28">
        <v>2168243.5618864759</v>
      </c>
      <c r="T92" s="28">
        <v>2758294.102825067</v>
      </c>
      <c r="U92" s="28">
        <v>3062675.1613632953</v>
      </c>
      <c r="V92" s="28">
        <v>5134007.1558843628</v>
      </c>
      <c r="W92" s="28">
        <v>4777788.8812287906</v>
      </c>
      <c r="X92" s="28">
        <v>4312442.0694176257</v>
      </c>
      <c r="Y92" s="28">
        <v>4099947.2820404191</v>
      </c>
    </row>
    <row r="93" spans="15:25" x14ac:dyDescent="0.2">
      <c r="O93" s="8">
        <v>91</v>
      </c>
      <c r="P93" s="28">
        <v>4289341.518173134</v>
      </c>
      <c r="Q93" s="28">
        <v>3202866.8746501394</v>
      </c>
      <c r="R93" s="28">
        <v>4528465.6719767498</v>
      </c>
      <c r="S93" s="28">
        <v>4423040.9065800179</v>
      </c>
      <c r="T93" s="28">
        <v>2675008.2404812733</v>
      </c>
      <c r="U93" s="28">
        <v>3238586.7803918705</v>
      </c>
      <c r="V93" s="28">
        <v>4094634.4563119104</v>
      </c>
      <c r="W93" s="28">
        <v>2878697.5505867377</v>
      </c>
      <c r="X93" s="28">
        <v>3667588.8717896864</v>
      </c>
      <c r="Y93" s="28">
        <v>3391658.4609807017</v>
      </c>
    </row>
    <row r="94" spans="15:25" x14ac:dyDescent="0.2">
      <c r="O94" s="8">
        <v>92</v>
      </c>
      <c r="P94" s="28">
        <v>2700533.1858788356</v>
      </c>
      <c r="Q94" s="28">
        <v>2760811.0458592856</v>
      </c>
      <c r="R94" s="28">
        <v>3447272.8561138427</v>
      </c>
      <c r="S94" s="28">
        <v>3591067.3202915923</v>
      </c>
      <c r="T94" s="28">
        <v>3266600.0809402149</v>
      </c>
      <c r="U94" s="28">
        <v>2561613.200466672</v>
      </c>
      <c r="V94" s="28">
        <v>3298267.0326554202</v>
      </c>
      <c r="W94" s="28">
        <v>3034407.8798148874</v>
      </c>
      <c r="X94" s="28">
        <v>3416581.5219787424</v>
      </c>
      <c r="Y94" s="28">
        <v>3013536.8201289414</v>
      </c>
    </row>
    <row r="95" spans="15:25" x14ac:dyDescent="0.2">
      <c r="O95" s="8">
        <v>93</v>
      </c>
      <c r="P95" s="28">
        <v>4715222.5527302371</v>
      </c>
      <c r="Q95" s="28">
        <v>4321627.9175123358</v>
      </c>
      <c r="R95" s="28">
        <v>5181625.5148531795</v>
      </c>
      <c r="S95" s="28">
        <v>3948164.2866529631</v>
      </c>
      <c r="T95" s="28">
        <v>3923875.5484820516</v>
      </c>
      <c r="U95" s="28">
        <v>4263747.8548836159</v>
      </c>
      <c r="V95" s="28">
        <v>4929151.5489001898</v>
      </c>
      <c r="W95" s="28">
        <v>3862191.8729805415</v>
      </c>
      <c r="X95" s="28">
        <v>3239137.9039633977</v>
      </c>
      <c r="Y95" s="28">
        <v>4129048.8845271603</v>
      </c>
    </row>
    <row r="96" spans="15:25" x14ac:dyDescent="0.2">
      <c r="O96" s="8">
        <v>94</v>
      </c>
      <c r="P96" s="28">
        <v>3573769.3668326214</v>
      </c>
      <c r="Q96" s="28">
        <v>3871581.0479122009</v>
      </c>
      <c r="R96" s="28">
        <v>3143892.0547737465</v>
      </c>
      <c r="S96" s="28">
        <v>4690778.2931546113</v>
      </c>
      <c r="T96" s="28">
        <v>4163026.9996895567</v>
      </c>
      <c r="U96" s="28">
        <v>3002624.3878735933</v>
      </c>
      <c r="V96" s="28">
        <v>4320636.6507869605</v>
      </c>
      <c r="W96" s="28">
        <v>3873262.6899209036</v>
      </c>
      <c r="X96" s="28">
        <v>3504032.9901754661</v>
      </c>
      <c r="Y96" s="28">
        <v>2957850.7729742983</v>
      </c>
    </row>
    <row r="97" spans="15:25" x14ac:dyDescent="0.2">
      <c r="O97" s="8">
        <v>95</v>
      </c>
      <c r="P97" s="28">
        <v>2479241.9007465914</v>
      </c>
      <c r="Q97" s="28">
        <v>4348867.0853383252</v>
      </c>
      <c r="R97" s="28">
        <v>3510033.8827248299</v>
      </c>
      <c r="S97" s="28">
        <v>4078665.5892528608</v>
      </c>
      <c r="T97" s="28">
        <v>4445825.7324880734</v>
      </c>
      <c r="U97" s="28">
        <v>3713917.3435598589</v>
      </c>
      <c r="V97" s="28">
        <v>2982374.2876619436</v>
      </c>
      <c r="W97" s="28">
        <v>4559984.4830806404</v>
      </c>
      <c r="X97" s="28">
        <v>2526394.2610113556</v>
      </c>
      <c r="Y97" s="28">
        <v>3284386.2322251787</v>
      </c>
    </row>
    <row r="98" spans="15:25" x14ac:dyDescent="0.2">
      <c r="O98" s="8">
        <v>96</v>
      </c>
      <c r="P98" s="28">
        <v>3823666.6181780309</v>
      </c>
      <c r="Q98" s="28">
        <v>3342165.173971544</v>
      </c>
      <c r="R98" s="28">
        <v>2976794.2950480673</v>
      </c>
      <c r="S98" s="28">
        <v>2605950.7779985322</v>
      </c>
      <c r="T98" s="28">
        <v>3950986.8519306174</v>
      </c>
      <c r="U98" s="28">
        <v>3103413.2805463756</v>
      </c>
      <c r="V98" s="28">
        <v>3090030.5758514777</v>
      </c>
      <c r="W98" s="28">
        <v>2966719.5834091017</v>
      </c>
      <c r="X98" s="28">
        <v>4840351.5863502938</v>
      </c>
      <c r="Y98" s="28">
        <v>3322185.9488667008</v>
      </c>
    </row>
    <row r="99" spans="15:25" x14ac:dyDescent="0.2">
      <c r="O99" s="8">
        <v>97</v>
      </c>
      <c r="P99" s="28">
        <v>2538749.5217642654</v>
      </c>
      <c r="Q99" s="28">
        <v>3047862.838833563</v>
      </c>
      <c r="R99" s="28">
        <v>2903865.6043038787</v>
      </c>
      <c r="S99" s="28">
        <v>3611913.2889711028</v>
      </c>
      <c r="T99" s="28">
        <v>3965138.2277255738</v>
      </c>
      <c r="U99" s="28">
        <v>3272607.6690123556</v>
      </c>
      <c r="V99" s="28">
        <v>2622890.6169996154</v>
      </c>
      <c r="W99" s="28">
        <v>2793922.5849727211</v>
      </c>
      <c r="X99" s="28">
        <v>3782849.0598645308</v>
      </c>
      <c r="Y99" s="28">
        <v>2418479.5641046804</v>
      </c>
    </row>
    <row r="100" spans="15:25" x14ac:dyDescent="0.2">
      <c r="O100" s="8">
        <v>98</v>
      </c>
      <c r="P100" s="28">
        <v>4079806.9373991471</v>
      </c>
      <c r="Q100" s="28">
        <v>3217613.2688783705</v>
      </c>
      <c r="R100" s="28">
        <v>4026091.5523153814</v>
      </c>
      <c r="S100" s="28">
        <v>3263260.3341550869</v>
      </c>
      <c r="T100" s="28">
        <v>3103168.5286872271</v>
      </c>
      <c r="U100" s="28">
        <v>2628643.5128789749</v>
      </c>
      <c r="V100" s="28">
        <v>2483588.5224721972</v>
      </c>
      <c r="W100" s="28">
        <v>3105792.5284948712</v>
      </c>
      <c r="X100" s="28">
        <v>3232096.1094477833</v>
      </c>
      <c r="Y100" s="28">
        <v>2912730.7285838649</v>
      </c>
    </row>
    <row r="101" spans="15:25" x14ac:dyDescent="0.2">
      <c r="O101" s="8">
        <v>99</v>
      </c>
      <c r="P101" s="28">
        <v>3416996.4833339639</v>
      </c>
      <c r="Q101" s="28">
        <v>4120781.4169810163</v>
      </c>
      <c r="R101" s="28">
        <v>3868336.3269885178</v>
      </c>
      <c r="S101" s="28">
        <v>4006192.3215105911</v>
      </c>
      <c r="T101" s="28">
        <v>3355920.2799624582</v>
      </c>
      <c r="U101" s="28">
        <v>3627556.5934392377</v>
      </c>
      <c r="V101" s="28">
        <v>5082755.5040430548</v>
      </c>
      <c r="W101" s="28">
        <v>4278938.3543057628</v>
      </c>
      <c r="X101" s="28">
        <v>3563856.9854694074</v>
      </c>
      <c r="Y101" s="28">
        <v>3509426.7649744432</v>
      </c>
    </row>
    <row r="102" spans="15:25" x14ac:dyDescent="0.2">
      <c r="O102" s="8">
        <v>100</v>
      </c>
      <c r="P102" s="28">
        <v>3350242.8342321254</v>
      </c>
      <c r="Q102" s="28">
        <v>3000411.5863509281</v>
      </c>
      <c r="R102" s="28">
        <v>2740533.1765150419</v>
      </c>
      <c r="S102" s="28">
        <v>4722952.7819054201</v>
      </c>
      <c r="T102" s="28">
        <v>3746815.9003838832</v>
      </c>
      <c r="U102" s="28">
        <v>4397092.5139097162</v>
      </c>
      <c r="V102" s="28">
        <v>4065090.7738513458</v>
      </c>
      <c r="W102" s="28">
        <v>3710214.5328459288</v>
      </c>
      <c r="X102" s="28">
        <v>3192310.5992044844</v>
      </c>
      <c r="Y102" s="28">
        <v>3904077.7574989735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Dinevski</dc:creator>
  <cp:lastModifiedBy>Microsoft Office User</cp:lastModifiedBy>
  <dcterms:created xsi:type="dcterms:W3CDTF">2016-02-23T04:59:51Z</dcterms:created>
  <dcterms:modified xsi:type="dcterms:W3CDTF">2018-09-07T12:47:51Z</dcterms:modified>
</cp:coreProperties>
</file>