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60" windowHeight="7680"/>
  </bookViews>
  <sheets>
    <sheet name="12.06.02018" sheetId="50" r:id="rId1"/>
    <sheet name="11.06.18" sheetId="49" r:id="rId2"/>
    <sheet name="10.06.2018" sheetId="48" r:id="rId3"/>
    <sheet name="09.06.2018" sheetId="47" r:id="rId4"/>
    <sheet name="08.06.2018" sheetId="46" r:id="rId5"/>
    <sheet name="07.06.18" sheetId="45" r:id="rId6"/>
    <sheet name="06.06.2018" sheetId="44" r:id="rId7"/>
    <sheet name="05.06.18" sheetId="43" r:id="rId8"/>
    <sheet name="04.06.18" sheetId="42" r:id="rId9"/>
    <sheet name="03.06.18" sheetId="39" r:id="rId10"/>
    <sheet name="02.06.18" sheetId="38" r:id="rId11"/>
    <sheet name="01.06.18" sheetId="37" r:id="rId12"/>
    <sheet name="31.05.18" sheetId="36" r:id="rId1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50"/>
  <c r="H30"/>
  <c r="D30"/>
  <c r="C30"/>
  <c r="N27" s="1"/>
  <c r="G29"/>
  <c r="H29" s="1"/>
  <c r="B29"/>
  <c r="N28"/>
  <c r="N29" s="1"/>
  <c r="J28"/>
  <c r="J27"/>
  <c r="J26"/>
  <c r="J25"/>
  <c r="H24"/>
  <c r="I24" s="1"/>
  <c r="J24" s="1"/>
  <c r="H23"/>
  <c r="I23" s="1"/>
  <c r="J23" s="1"/>
  <c r="H22"/>
  <c r="I22" s="1"/>
  <c r="J22" s="1"/>
  <c r="X20"/>
  <c r="E20"/>
  <c r="J20" s="1"/>
  <c r="I20" s="1"/>
  <c r="H20" s="1"/>
  <c r="W19"/>
  <c r="O19"/>
  <c r="E19"/>
  <c r="E18"/>
  <c r="J18" s="1"/>
  <c r="E17"/>
  <c r="J17" s="1"/>
  <c r="W16"/>
  <c r="E16"/>
  <c r="J16" s="1"/>
  <c r="E15"/>
  <c r="J15" s="1"/>
  <c r="V9" s="1"/>
  <c r="E14"/>
  <c r="J14" s="1"/>
  <c r="U9" s="1"/>
  <c r="P13"/>
  <c r="S12"/>
  <c r="E12"/>
  <c r="J12" s="1"/>
  <c r="T9" s="1"/>
  <c r="B28" s="1"/>
  <c r="E11"/>
  <c r="J11" s="1"/>
  <c r="S9" s="1"/>
  <c r="B25" s="1"/>
  <c r="J10"/>
  <c r="R9" s="1"/>
  <c r="B26" s="1"/>
  <c r="E10"/>
  <c r="E9"/>
  <c r="J9" s="1"/>
  <c r="Q9" s="1"/>
  <c r="B27" s="1"/>
  <c r="W8"/>
  <c r="V8"/>
  <c r="U8"/>
  <c r="T8"/>
  <c r="S8"/>
  <c r="R8"/>
  <c r="Q8"/>
  <c r="P8"/>
  <c r="X8" s="1"/>
  <c r="O8"/>
  <c r="N8"/>
  <c r="E8"/>
  <c r="J8" s="1"/>
  <c r="P9" s="1"/>
  <c r="B22" s="1"/>
  <c r="W7"/>
  <c r="V7"/>
  <c r="U7"/>
  <c r="T7"/>
  <c r="S7"/>
  <c r="R7"/>
  <c r="Q7"/>
  <c r="P7"/>
  <c r="O7"/>
  <c r="N7"/>
  <c r="E7"/>
  <c r="J7" s="1"/>
  <c r="O9" s="1"/>
  <c r="B23" s="1"/>
  <c r="W6"/>
  <c r="W22" s="1"/>
  <c r="V6"/>
  <c r="V19" s="1"/>
  <c r="U6"/>
  <c r="U22" s="1"/>
  <c r="T6"/>
  <c r="T21" s="1"/>
  <c r="S6"/>
  <c r="S16" s="1"/>
  <c r="R6"/>
  <c r="R19" s="1"/>
  <c r="Q6"/>
  <c r="Q21" s="1"/>
  <c r="P6"/>
  <c r="P21" s="1"/>
  <c r="O6"/>
  <c r="O16" s="1"/>
  <c r="N6"/>
  <c r="N19" s="1"/>
  <c r="E6"/>
  <c r="J6" s="1"/>
  <c r="N9" s="1"/>
  <c r="J29" l="1"/>
  <c r="N30" s="1"/>
  <c r="X7"/>
  <c r="N25" s="1"/>
  <c r="U13"/>
  <c r="Q19"/>
  <c r="U12"/>
  <c r="W13"/>
  <c r="P16"/>
  <c r="S19"/>
  <c r="Q12"/>
  <c r="O12"/>
  <c r="W12"/>
  <c r="U16"/>
  <c r="U19"/>
  <c r="B30"/>
  <c r="B24"/>
  <c r="X9"/>
  <c r="N26" s="1"/>
  <c r="N21"/>
  <c r="R21"/>
  <c r="V21"/>
  <c r="V22"/>
  <c r="X22" s="1"/>
  <c r="P12"/>
  <c r="T12"/>
  <c r="Q13"/>
  <c r="V13"/>
  <c r="Q16"/>
  <c r="V16"/>
  <c r="P19"/>
  <c r="T19"/>
  <c r="O21"/>
  <c r="S21"/>
  <c r="W21"/>
  <c r="N16"/>
  <c r="X6"/>
  <c r="N24" s="1"/>
  <c r="N13"/>
  <c r="R13"/>
  <c r="R16"/>
  <c r="N12"/>
  <c r="R12"/>
  <c r="V12"/>
  <c r="O13"/>
  <c r="S13"/>
  <c r="U21"/>
  <c r="N33" i="49"/>
  <c r="H30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E20"/>
  <c r="J20" s="1"/>
  <c r="I20" s="1"/>
  <c r="H20" s="1"/>
  <c r="V19"/>
  <c r="R19"/>
  <c r="E19"/>
  <c r="J18"/>
  <c r="E18"/>
  <c r="E17"/>
  <c r="J17" s="1"/>
  <c r="W16"/>
  <c r="S16"/>
  <c r="R16"/>
  <c r="E16"/>
  <c r="J16" s="1"/>
  <c r="E15"/>
  <c r="J15" s="1"/>
  <c r="V9" s="1"/>
  <c r="E14"/>
  <c r="J14" s="1"/>
  <c r="U9" s="1"/>
  <c r="W13"/>
  <c r="S13"/>
  <c r="R13"/>
  <c r="W12"/>
  <c r="V12"/>
  <c r="S12"/>
  <c r="R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E8"/>
  <c r="J8" s="1"/>
  <c r="P9" s="1"/>
  <c r="B22" s="1"/>
  <c r="W7"/>
  <c r="V7"/>
  <c r="U7"/>
  <c r="T7"/>
  <c r="S7"/>
  <c r="R7"/>
  <c r="Q7"/>
  <c r="P7"/>
  <c r="O7"/>
  <c r="N7"/>
  <c r="E7"/>
  <c r="J7" s="1"/>
  <c r="O9" s="1"/>
  <c r="B23" s="1"/>
  <c r="W6"/>
  <c r="W22" s="1"/>
  <c r="V6"/>
  <c r="V16" s="1"/>
  <c r="U6"/>
  <c r="U19" s="1"/>
  <c r="T6"/>
  <c r="T21" s="1"/>
  <c r="S6"/>
  <c r="S21" s="1"/>
  <c r="R6"/>
  <c r="R21" s="1"/>
  <c r="Q6"/>
  <c r="Q19" s="1"/>
  <c r="P6"/>
  <c r="P21" s="1"/>
  <c r="O6"/>
  <c r="O21" s="1"/>
  <c r="N6"/>
  <c r="N21" s="1"/>
  <c r="E6"/>
  <c r="J6" s="1"/>
  <c r="N9" s="1"/>
  <c r="F19" i="50" l="1"/>
  <c r="J19" s="1"/>
  <c r="J21" s="1"/>
  <c r="J30" s="1"/>
  <c r="X19"/>
  <c r="X12"/>
  <c r="X13"/>
  <c r="X21"/>
  <c r="X16"/>
  <c r="X7" i="49"/>
  <c r="N25" s="1"/>
  <c r="O13"/>
  <c r="O12"/>
  <c r="O16"/>
  <c r="N12"/>
  <c r="N19"/>
  <c r="N13"/>
  <c r="N16"/>
  <c r="N30"/>
  <c r="F19"/>
  <c r="J19" s="1"/>
  <c r="J21" s="1"/>
  <c r="J30" s="1"/>
  <c r="B24"/>
  <c r="B30" s="1"/>
  <c r="X9"/>
  <c r="N26" s="1"/>
  <c r="X6"/>
  <c r="N24" s="1"/>
  <c r="Q21"/>
  <c r="X21" s="1"/>
  <c r="U13"/>
  <c r="P16"/>
  <c r="X16" s="1"/>
  <c r="U16"/>
  <c r="O19"/>
  <c r="X19" s="1"/>
  <c r="S19"/>
  <c r="W19"/>
  <c r="V21"/>
  <c r="V22"/>
  <c r="U21"/>
  <c r="U22"/>
  <c r="P13"/>
  <c r="P12"/>
  <c r="T12"/>
  <c r="Q13"/>
  <c r="V13"/>
  <c r="Q16"/>
  <c r="P19"/>
  <c r="T19"/>
  <c r="W21"/>
  <c r="Q12"/>
  <c r="U12"/>
  <c r="N33" i="48"/>
  <c r="H30"/>
  <c r="D30"/>
  <c r="C30"/>
  <c r="N29"/>
  <c r="G29"/>
  <c r="H29" s="1"/>
  <c r="B29"/>
  <c r="N28"/>
  <c r="J28"/>
  <c r="N27"/>
  <c r="J27"/>
  <c r="J26"/>
  <c r="J25"/>
  <c r="H24"/>
  <c r="I24" s="1"/>
  <c r="J24" s="1"/>
  <c r="H23"/>
  <c r="I23" s="1"/>
  <c r="J23" s="1"/>
  <c r="H22"/>
  <c r="I22" s="1"/>
  <c r="J22" s="1"/>
  <c r="X20"/>
  <c r="J20"/>
  <c r="I20"/>
  <c r="H20" s="1"/>
  <c r="E20"/>
  <c r="T19"/>
  <c r="E19"/>
  <c r="E18"/>
  <c r="J18" s="1"/>
  <c r="E17"/>
  <c r="J17" s="1"/>
  <c r="U16"/>
  <c r="Q16"/>
  <c r="E16"/>
  <c r="J16" s="1"/>
  <c r="E15"/>
  <c r="J15" s="1"/>
  <c r="V9" s="1"/>
  <c r="E14"/>
  <c r="J14" s="1"/>
  <c r="U9" s="1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X8" s="1"/>
  <c r="O8"/>
  <c r="N8"/>
  <c r="E8"/>
  <c r="J8" s="1"/>
  <c r="P9" s="1"/>
  <c r="B22" s="1"/>
  <c r="W7"/>
  <c r="V7"/>
  <c r="U7"/>
  <c r="T7"/>
  <c r="S7"/>
  <c r="R7"/>
  <c r="Q7"/>
  <c r="P7"/>
  <c r="O7"/>
  <c r="N7"/>
  <c r="X7" s="1"/>
  <c r="N25" s="1"/>
  <c r="E7"/>
  <c r="J7" s="1"/>
  <c r="O9" s="1"/>
  <c r="B23" s="1"/>
  <c r="W6"/>
  <c r="W16" s="1"/>
  <c r="V6"/>
  <c r="V19" s="1"/>
  <c r="U6"/>
  <c r="U22" s="1"/>
  <c r="T6"/>
  <c r="T21" s="1"/>
  <c r="S6"/>
  <c r="S16" s="1"/>
  <c r="R6"/>
  <c r="R19" s="1"/>
  <c r="Q6"/>
  <c r="Q21" s="1"/>
  <c r="P6"/>
  <c r="P21" s="1"/>
  <c r="O6"/>
  <c r="O16" s="1"/>
  <c r="N6"/>
  <c r="N19" s="1"/>
  <c r="E6"/>
  <c r="J6" s="1"/>
  <c r="N9" s="1"/>
  <c r="X12" i="49" l="1"/>
  <c r="X13"/>
  <c r="X22"/>
  <c r="J29" i="48"/>
  <c r="F19" s="1"/>
  <c r="J19" s="1"/>
  <c r="J21" s="1"/>
  <c r="J30" s="1"/>
  <c r="O12"/>
  <c r="W12"/>
  <c r="P12"/>
  <c r="P13"/>
  <c r="W19"/>
  <c r="S12"/>
  <c r="Q13"/>
  <c r="P19"/>
  <c r="T12"/>
  <c r="U13"/>
  <c r="P16"/>
  <c r="S19"/>
  <c r="O19"/>
  <c r="B24"/>
  <c r="B30" s="1"/>
  <c r="X9"/>
  <c r="N26" s="1"/>
  <c r="N21"/>
  <c r="R21"/>
  <c r="V13"/>
  <c r="O21"/>
  <c r="W21"/>
  <c r="W22"/>
  <c r="X6"/>
  <c r="N24" s="1"/>
  <c r="Q12"/>
  <c r="U12"/>
  <c r="N13"/>
  <c r="R13"/>
  <c r="W13"/>
  <c r="N16"/>
  <c r="R16"/>
  <c r="Q19"/>
  <c r="U19"/>
  <c r="V21"/>
  <c r="V22"/>
  <c r="X22" s="1"/>
  <c r="V16"/>
  <c r="S21"/>
  <c r="N12"/>
  <c r="R12"/>
  <c r="V12"/>
  <c r="O13"/>
  <c r="S13"/>
  <c r="U21"/>
  <c r="N33" i="47"/>
  <c r="H30"/>
  <c r="D30"/>
  <c r="C30"/>
  <c r="G29"/>
  <c r="H29" s="1"/>
  <c r="B29"/>
  <c r="N28"/>
  <c r="N29" s="1"/>
  <c r="J28"/>
  <c r="N27"/>
  <c r="J27"/>
  <c r="J29" s="1"/>
  <c r="J26"/>
  <c r="J25"/>
  <c r="H24"/>
  <c r="I24" s="1"/>
  <c r="J24" s="1"/>
  <c r="H23"/>
  <c r="I23" s="1"/>
  <c r="J23" s="1"/>
  <c r="H22"/>
  <c r="I22" s="1"/>
  <c r="J22" s="1"/>
  <c r="V21"/>
  <c r="R21"/>
  <c r="X20"/>
  <c r="E20"/>
  <c r="J20" s="1"/>
  <c r="I20" s="1"/>
  <c r="H20" s="1"/>
  <c r="E19"/>
  <c r="E18"/>
  <c r="J18" s="1"/>
  <c r="E17"/>
  <c r="J17" s="1"/>
  <c r="E16"/>
  <c r="J16" s="1"/>
  <c r="E15"/>
  <c r="J15" s="1"/>
  <c r="V9" s="1"/>
  <c r="E14"/>
  <c r="J14" s="1"/>
  <c r="U9" s="1"/>
  <c r="N13"/>
  <c r="V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E8"/>
  <c r="J8" s="1"/>
  <c r="P9" s="1"/>
  <c r="B22" s="1"/>
  <c r="W7"/>
  <c r="V7"/>
  <c r="U7"/>
  <c r="T7"/>
  <c r="S7"/>
  <c r="R7"/>
  <c r="Q7"/>
  <c r="P7"/>
  <c r="X7" s="1"/>
  <c r="O7"/>
  <c r="N7"/>
  <c r="E7"/>
  <c r="J7" s="1"/>
  <c r="O9" s="1"/>
  <c r="B23" s="1"/>
  <c r="W6"/>
  <c r="W16" s="1"/>
  <c r="V6"/>
  <c r="V19" s="1"/>
  <c r="U6"/>
  <c r="U22" s="1"/>
  <c r="T6"/>
  <c r="T21" s="1"/>
  <c r="S6"/>
  <c r="S16" s="1"/>
  <c r="R6"/>
  <c r="R19" s="1"/>
  <c r="Q6"/>
  <c r="Q21" s="1"/>
  <c r="P6"/>
  <c r="P21" s="1"/>
  <c r="O6"/>
  <c r="O16" s="1"/>
  <c r="N6"/>
  <c r="N19" s="1"/>
  <c r="E6"/>
  <c r="J6" s="1"/>
  <c r="N9" s="1"/>
  <c r="N30" i="48" l="1"/>
  <c r="X19"/>
  <c r="X13"/>
  <c r="X12"/>
  <c r="X21"/>
  <c r="X16"/>
  <c r="R16" i="47"/>
  <c r="P16"/>
  <c r="N12"/>
  <c r="P13"/>
  <c r="R12"/>
  <c r="R13"/>
  <c r="N16"/>
  <c r="N21"/>
  <c r="V22"/>
  <c r="B24"/>
  <c r="B30" s="1"/>
  <c r="X9"/>
  <c r="N26" s="1"/>
  <c r="N25"/>
  <c r="N30"/>
  <c r="F19"/>
  <c r="J19" s="1"/>
  <c r="J21" s="1"/>
  <c r="J30" s="1"/>
  <c r="O12"/>
  <c r="S12"/>
  <c r="W12"/>
  <c r="U13"/>
  <c r="U16"/>
  <c r="O19"/>
  <c r="S19"/>
  <c r="W19"/>
  <c r="P12"/>
  <c r="T12"/>
  <c r="Q13"/>
  <c r="V13"/>
  <c r="Q16"/>
  <c r="V16"/>
  <c r="P19"/>
  <c r="T19"/>
  <c r="O21"/>
  <c r="S21"/>
  <c r="W21"/>
  <c r="W22"/>
  <c r="U12"/>
  <c r="W13"/>
  <c r="Q19"/>
  <c r="U19"/>
  <c r="Q12"/>
  <c r="X6"/>
  <c r="N24" s="1"/>
  <c r="O13"/>
  <c r="S13"/>
  <c r="U21"/>
  <c r="C10" i="46"/>
  <c r="C11"/>
  <c r="C9"/>
  <c r="C6"/>
  <c r="N33"/>
  <c r="X21" i="47" l="1"/>
  <c r="X12"/>
  <c r="X16"/>
  <c r="X13"/>
  <c r="X22"/>
  <c r="X19"/>
  <c r="H30" i="46"/>
  <c r="D30"/>
  <c r="C30"/>
  <c r="G29"/>
  <c r="H29" s="1"/>
  <c r="B29"/>
  <c r="N28"/>
  <c r="N29" s="1"/>
  <c r="J28"/>
  <c r="N27"/>
  <c r="J27"/>
  <c r="J26"/>
  <c r="J25"/>
  <c r="H24"/>
  <c r="I24" s="1"/>
  <c r="J24" s="1"/>
  <c r="H23"/>
  <c r="I23" s="1"/>
  <c r="J23" s="1"/>
  <c r="H22"/>
  <c r="I22" s="1"/>
  <c r="J22" s="1"/>
  <c r="X20"/>
  <c r="J20"/>
  <c r="I20"/>
  <c r="H20" s="1"/>
  <c r="E20"/>
  <c r="O19"/>
  <c r="E19"/>
  <c r="E18"/>
  <c r="J18" s="1"/>
  <c r="E17"/>
  <c r="J17" s="1"/>
  <c r="E16"/>
  <c r="J16" s="1"/>
  <c r="E15"/>
  <c r="J15" s="1"/>
  <c r="V9" s="1"/>
  <c r="E14"/>
  <c r="J14" s="1"/>
  <c r="U9" s="1"/>
  <c r="W12"/>
  <c r="Q12"/>
  <c r="O12"/>
  <c r="E12"/>
  <c r="J12" s="1"/>
  <c r="T9" s="1"/>
  <c r="B28" s="1"/>
  <c r="E11"/>
  <c r="J11" s="1"/>
  <c r="S9" s="1"/>
  <c r="B25" s="1"/>
  <c r="E10"/>
  <c r="E9"/>
  <c r="J9" s="1"/>
  <c r="Q9" s="1"/>
  <c r="B27" s="1"/>
  <c r="W8"/>
  <c r="V8"/>
  <c r="U8"/>
  <c r="T8"/>
  <c r="S8"/>
  <c r="R8"/>
  <c r="Q8"/>
  <c r="P8"/>
  <c r="X8" s="1"/>
  <c r="O8"/>
  <c r="N8"/>
  <c r="E8"/>
  <c r="J8" s="1"/>
  <c r="P9" s="1"/>
  <c r="B22" s="1"/>
  <c r="W7"/>
  <c r="V7"/>
  <c r="U7"/>
  <c r="T7"/>
  <c r="S7"/>
  <c r="R7"/>
  <c r="Q7"/>
  <c r="P7"/>
  <c r="O7"/>
  <c r="N7"/>
  <c r="X7" s="1"/>
  <c r="E7"/>
  <c r="J7" s="1"/>
  <c r="O9" s="1"/>
  <c r="B23" s="1"/>
  <c r="W6"/>
  <c r="W16" s="1"/>
  <c r="V6"/>
  <c r="V19" s="1"/>
  <c r="U6"/>
  <c r="U22" s="1"/>
  <c r="T6"/>
  <c r="T21" s="1"/>
  <c r="S6"/>
  <c r="S16" s="1"/>
  <c r="R6"/>
  <c r="R19" s="1"/>
  <c r="Q6"/>
  <c r="Q21" s="1"/>
  <c r="P6"/>
  <c r="P21" s="1"/>
  <c r="O6"/>
  <c r="O16" s="1"/>
  <c r="N6"/>
  <c r="N19" s="1"/>
  <c r="E6"/>
  <c r="J6" s="1"/>
  <c r="N9" s="1"/>
  <c r="J29" l="1"/>
  <c r="N30" s="1"/>
  <c r="J10"/>
  <c r="R9" s="1"/>
  <c r="B26" s="1"/>
  <c r="S12"/>
  <c r="S19"/>
  <c r="P13"/>
  <c r="U16"/>
  <c r="Q13"/>
  <c r="P12"/>
  <c r="U12"/>
  <c r="U13"/>
  <c r="P16"/>
  <c r="Q19"/>
  <c r="W19"/>
  <c r="Q16"/>
  <c r="T19"/>
  <c r="T12"/>
  <c r="P19"/>
  <c r="U19"/>
  <c r="N25"/>
  <c r="B24"/>
  <c r="B30" s="1"/>
  <c r="N21"/>
  <c r="R21"/>
  <c r="V21"/>
  <c r="V22"/>
  <c r="X22" s="1"/>
  <c r="V13"/>
  <c r="V16"/>
  <c r="O21"/>
  <c r="S21"/>
  <c r="W21"/>
  <c r="W22"/>
  <c r="X6"/>
  <c r="N24" s="1"/>
  <c r="N13"/>
  <c r="R13"/>
  <c r="W13"/>
  <c r="N16"/>
  <c r="R16"/>
  <c r="N12"/>
  <c r="R12"/>
  <c r="V12"/>
  <c r="O13"/>
  <c r="S13"/>
  <c r="U21"/>
  <c r="H30" i="45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I23"/>
  <c r="J23" s="1"/>
  <c r="H23"/>
  <c r="W22"/>
  <c r="H22"/>
  <c r="I22" s="1"/>
  <c r="J22" s="1"/>
  <c r="W21"/>
  <c r="T21"/>
  <c r="P21"/>
  <c r="O21"/>
  <c r="X20"/>
  <c r="J20"/>
  <c r="I20" s="1"/>
  <c r="H20" s="1"/>
  <c r="E20"/>
  <c r="T19"/>
  <c r="P19"/>
  <c r="E19"/>
  <c r="E18"/>
  <c r="J18" s="1"/>
  <c r="J17"/>
  <c r="E17"/>
  <c r="W16"/>
  <c r="V16"/>
  <c r="J16"/>
  <c r="E16"/>
  <c r="E15"/>
  <c r="J15" s="1"/>
  <c r="V9" s="1"/>
  <c r="E14"/>
  <c r="J14" s="1"/>
  <c r="U9" s="1"/>
  <c r="W13"/>
  <c r="V13"/>
  <c r="T12"/>
  <c r="P12"/>
  <c r="E12"/>
  <c r="J12" s="1"/>
  <c r="T9" s="1"/>
  <c r="B28" s="1"/>
  <c r="S7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X8" s="1"/>
  <c r="N8"/>
  <c r="E8"/>
  <c r="J8" s="1"/>
  <c r="P9" s="1"/>
  <c r="B22" s="1"/>
  <c r="W7"/>
  <c r="V7"/>
  <c r="U7"/>
  <c r="T7"/>
  <c r="R7"/>
  <c r="Q7"/>
  <c r="P7"/>
  <c r="O7"/>
  <c r="N7"/>
  <c r="E7"/>
  <c r="J7" s="1"/>
  <c r="O9" s="1"/>
  <c r="B23" s="1"/>
  <c r="W6"/>
  <c r="W19" s="1"/>
  <c r="V6"/>
  <c r="V22" s="1"/>
  <c r="U6"/>
  <c r="T6"/>
  <c r="S6"/>
  <c r="S19" s="1"/>
  <c r="R6"/>
  <c r="R21" s="1"/>
  <c r="Q6"/>
  <c r="P6"/>
  <c r="P16" s="1"/>
  <c r="O6"/>
  <c r="O19" s="1"/>
  <c r="N6"/>
  <c r="N21" s="1"/>
  <c r="E6"/>
  <c r="J6" s="1"/>
  <c r="N9" s="1"/>
  <c r="F19" i="46" l="1"/>
  <c r="J19" s="1"/>
  <c r="J21" s="1"/>
  <c r="J30" s="1"/>
  <c r="X9"/>
  <c r="N26" s="1"/>
  <c r="X19"/>
  <c r="X12"/>
  <c r="X16"/>
  <c r="X21"/>
  <c r="X13"/>
  <c r="X7" i="45"/>
  <c r="N25" s="1"/>
  <c r="S21"/>
  <c r="X21" s="1"/>
  <c r="B24"/>
  <c r="B30" s="1"/>
  <c r="X9"/>
  <c r="N26" s="1"/>
  <c r="N30"/>
  <c r="F19"/>
  <c r="J19" s="1"/>
  <c r="J21" s="1"/>
  <c r="J30" s="1"/>
  <c r="U16"/>
  <c r="U13"/>
  <c r="U22"/>
  <c r="X22" s="1"/>
  <c r="U21"/>
  <c r="U19"/>
  <c r="U12"/>
  <c r="Q21"/>
  <c r="Q19"/>
  <c r="Q12"/>
  <c r="Q16"/>
  <c r="Q13"/>
  <c r="N13"/>
  <c r="R13"/>
  <c r="N16"/>
  <c r="R16"/>
  <c r="N12"/>
  <c r="R12"/>
  <c r="V12"/>
  <c r="O13"/>
  <c r="S13"/>
  <c r="O16"/>
  <c r="S16"/>
  <c r="N19"/>
  <c r="R19"/>
  <c r="V19"/>
  <c r="X6"/>
  <c r="N24" s="1"/>
  <c r="O12"/>
  <c r="S12"/>
  <c r="W12"/>
  <c r="P13"/>
  <c r="V21"/>
  <c r="F6" i="44"/>
  <c r="N7" s="1"/>
  <c r="F11"/>
  <c r="D10"/>
  <c r="E10" s="1"/>
  <c r="J10" s="1"/>
  <c r="R9" s="1"/>
  <c r="B26" s="1"/>
  <c r="H30"/>
  <c r="D30"/>
  <c r="C30"/>
  <c r="G29"/>
  <c r="H29" s="1"/>
  <c r="B29"/>
  <c r="N28"/>
  <c r="N29" s="1"/>
  <c r="J28"/>
  <c r="N27"/>
  <c r="J27"/>
  <c r="J26"/>
  <c r="J25"/>
  <c r="H24"/>
  <c r="I24" s="1"/>
  <c r="J24" s="1"/>
  <c r="H23"/>
  <c r="I23" s="1"/>
  <c r="J23" s="1"/>
  <c r="H22"/>
  <c r="I22" s="1"/>
  <c r="J22" s="1"/>
  <c r="X20"/>
  <c r="J20"/>
  <c r="I20"/>
  <c r="H20"/>
  <c r="E20"/>
  <c r="W19"/>
  <c r="E19"/>
  <c r="E18"/>
  <c r="J18" s="1"/>
  <c r="E17"/>
  <c r="J17" s="1"/>
  <c r="P16"/>
  <c r="E16"/>
  <c r="J16" s="1"/>
  <c r="E15"/>
  <c r="J15" s="1"/>
  <c r="V9" s="1"/>
  <c r="E14"/>
  <c r="J14" s="1"/>
  <c r="U9" s="1"/>
  <c r="W12"/>
  <c r="E12"/>
  <c r="J12" s="1"/>
  <c r="T9" s="1"/>
  <c r="B28" s="1"/>
  <c r="E11"/>
  <c r="E9"/>
  <c r="J9" s="1"/>
  <c r="Q9" s="1"/>
  <c r="B27" s="1"/>
  <c r="W8"/>
  <c r="V8"/>
  <c r="U8"/>
  <c r="T8"/>
  <c r="S8"/>
  <c r="R8"/>
  <c r="Q8"/>
  <c r="P8"/>
  <c r="O8"/>
  <c r="X8" s="1"/>
  <c r="N8"/>
  <c r="E8"/>
  <c r="J8" s="1"/>
  <c r="P9" s="1"/>
  <c r="B22" s="1"/>
  <c r="W7"/>
  <c r="V7"/>
  <c r="U7"/>
  <c r="T7"/>
  <c r="S7"/>
  <c r="R7"/>
  <c r="Q7"/>
  <c r="P7"/>
  <c r="O7"/>
  <c r="E7"/>
  <c r="J7" s="1"/>
  <c r="O9" s="1"/>
  <c r="B23" s="1"/>
  <c r="W6"/>
  <c r="W16" s="1"/>
  <c r="V6"/>
  <c r="V16" s="1"/>
  <c r="U6"/>
  <c r="U19" s="1"/>
  <c r="T6"/>
  <c r="T21" s="1"/>
  <c r="S6"/>
  <c r="S21" s="1"/>
  <c r="Q6"/>
  <c r="Q19" s="1"/>
  <c r="P6"/>
  <c r="P21" s="1"/>
  <c r="O6"/>
  <c r="O21" s="1"/>
  <c r="N6"/>
  <c r="N16" s="1"/>
  <c r="E6"/>
  <c r="J6" s="1"/>
  <c r="N9" s="1"/>
  <c r="X12" i="45" l="1"/>
  <c r="X13"/>
  <c r="X19"/>
  <c r="X16"/>
  <c r="J29" i="44"/>
  <c r="N30" s="1"/>
  <c r="X7"/>
  <c r="N25" s="1"/>
  <c r="J11"/>
  <c r="S9" s="1"/>
  <c r="B25" s="1"/>
  <c r="R6"/>
  <c r="R21" s="1"/>
  <c r="N12"/>
  <c r="S12"/>
  <c r="O13"/>
  <c r="S16"/>
  <c r="N19"/>
  <c r="S19"/>
  <c r="O12"/>
  <c r="T12"/>
  <c r="P13"/>
  <c r="O19"/>
  <c r="T19"/>
  <c r="P12"/>
  <c r="V12"/>
  <c r="S13"/>
  <c r="O16"/>
  <c r="P19"/>
  <c r="V19"/>
  <c r="X9"/>
  <c r="N26" s="1"/>
  <c r="B24"/>
  <c r="F19"/>
  <c r="J19" s="1"/>
  <c r="J21" s="1"/>
  <c r="J30" s="1"/>
  <c r="Q21"/>
  <c r="U21"/>
  <c r="U22"/>
  <c r="X22" s="1"/>
  <c r="U13"/>
  <c r="U16"/>
  <c r="N21"/>
  <c r="V21"/>
  <c r="V22"/>
  <c r="Q13"/>
  <c r="V13"/>
  <c r="Q16"/>
  <c r="W21"/>
  <c r="W22"/>
  <c r="Q12"/>
  <c r="U12"/>
  <c r="N13"/>
  <c r="W13"/>
  <c r="H30" i="43"/>
  <c r="D30"/>
  <c r="C30"/>
  <c r="G29"/>
  <c r="H29" s="1"/>
  <c r="B29"/>
  <c r="N28"/>
  <c r="N29" s="1"/>
  <c r="J28"/>
  <c r="N27"/>
  <c r="J27"/>
  <c r="J29" s="1"/>
  <c r="J26"/>
  <c r="J25"/>
  <c r="H24"/>
  <c r="I24" s="1"/>
  <c r="J24" s="1"/>
  <c r="H23"/>
  <c r="I23" s="1"/>
  <c r="J23" s="1"/>
  <c r="H22"/>
  <c r="I22" s="1"/>
  <c r="J22" s="1"/>
  <c r="X20"/>
  <c r="E20"/>
  <c r="J20" s="1"/>
  <c r="I20" s="1"/>
  <c r="H20" s="1"/>
  <c r="V19"/>
  <c r="R19"/>
  <c r="E19"/>
  <c r="E18"/>
  <c r="J18" s="1"/>
  <c r="E17"/>
  <c r="J17" s="1"/>
  <c r="E16"/>
  <c r="J16" s="1"/>
  <c r="E15"/>
  <c r="J15" s="1"/>
  <c r="V9" s="1"/>
  <c r="E14"/>
  <c r="J14" s="1"/>
  <c r="U9" s="1"/>
  <c r="V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X8" s="1"/>
  <c r="N8"/>
  <c r="E8"/>
  <c r="J8" s="1"/>
  <c r="P9" s="1"/>
  <c r="B22" s="1"/>
  <c r="W7"/>
  <c r="V7"/>
  <c r="U7"/>
  <c r="T7"/>
  <c r="S7"/>
  <c r="R7"/>
  <c r="Q7"/>
  <c r="P7"/>
  <c r="O7"/>
  <c r="N7"/>
  <c r="E7"/>
  <c r="J7" s="1"/>
  <c r="O9" s="1"/>
  <c r="B23" s="1"/>
  <c r="W6"/>
  <c r="W16" s="1"/>
  <c r="V6"/>
  <c r="V16" s="1"/>
  <c r="U6"/>
  <c r="U19" s="1"/>
  <c r="T6"/>
  <c r="T21" s="1"/>
  <c r="S6"/>
  <c r="S21" s="1"/>
  <c r="R6"/>
  <c r="R16" s="1"/>
  <c r="Q6"/>
  <c r="Q19" s="1"/>
  <c r="P6"/>
  <c r="P21" s="1"/>
  <c r="O6"/>
  <c r="O21" s="1"/>
  <c r="N6"/>
  <c r="N16" s="1"/>
  <c r="E6"/>
  <c r="J6" s="1"/>
  <c r="N9" s="1"/>
  <c r="B30" i="44" l="1"/>
  <c r="X16"/>
  <c r="R13"/>
  <c r="X6"/>
  <c r="N24" s="1"/>
  <c r="X12"/>
  <c r="R16"/>
  <c r="R19"/>
  <c r="X19" s="1"/>
  <c r="R12"/>
  <c r="X13"/>
  <c r="X21"/>
  <c r="S13" i="43"/>
  <c r="S16"/>
  <c r="X7"/>
  <c r="N25" s="1"/>
  <c r="R12"/>
  <c r="X12" s="1"/>
  <c r="O13"/>
  <c r="O16"/>
  <c r="N12"/>
  <c r="N19"/>
  <c r="N30"/>
  <c r="F19"/>
  <c r="J19" s="1"/>
  <c r="J21" s="1"/>
  <c r="J30" s="1"/>
  <c r="X9"/>
  <c r="N26" s="1"/>
  <c r="B24"/>
  <c r="B30" s="1"/>
  <c r="O12"/>
  <c r="S12"/>
  <c r="W12"/>
  <c r="P13"/>
  <c r="U13"/>
  <c r="P16"/>
  <c r="U16"/>
  <c r="O19"/>
  <c r="S19"/>
  <c r="W19"/>
  <c r="N21"/>
  <c r="R21"/>
  <c r="V21"/>
  <c r="V22"/>
  <c r="Q21"/>
  <c r="U22"/>
  <c r="P12"/>
  <c r="T12"/>
  <c r="Q13"/>
  <c r="V13"/>
  <c r="Q16"/>
  <c r="P19"/>
  <c r="T19"/>
  <c r="W21"/>
  <c r="W22"/>
  <c r="U21"/>
  <c r="X6"/>
  <c r="N24" s="1"/>
  <c r="Q12"/>
  <c r="U12"/>
  <c r="N13"/>
  <c r="R13"/>
  <c r="W13"/>
  <c r="H30" i="42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E20"/>
  <c r="J20" s="1"/>
  <c r="I20" s="1"/>
  <c r="H20" s="1"/>
  <c r="U19"/>
  <c r="Q19"/>
  <c r="E19"/>
  <c r="E18"/>
  <c r="J18" s="1"/>
  <c r="E17"/>
  <c r="J17" s="1"/>
  <c r="W16"/>
  <c r="E16"/>
  <c r="J16" s="1"/>
  <c r="E15"/>
  <c r="J15" s="1"/>
  <c r="V9" s="1"/>
  <c r="E14"/>
  <c r="J14" s="1"/>
  <c r="U9" s="1"/>
  <c r="W13"/>
  <c r="N13"/>
  <c r="U12"/>
  <c r="Q12"/>
  <c r="J12"/>
  <c r="T9" s="1"/>
  <c r="B28" s="1"/>
  <c r="E12"/>
  <c r="J11"/>
  <c r="S9" s="1"/>
  <c r="B25" s="1"/>
  <c r="E11"/>
  <c r="E10"/>
  <c r="J10" s="1"/>
  <c r="R9" s="1"/>
  <c r="B26" s="1"/>
  <c r="J9"/>
  <c r="Q9" s="1"/>
  <c r="B27" s="1"/>
  <c r="E9"/>
  <c r="W8"/>
  <c r="V8"/>
  <c r="U8"/>
  <c r="T8"/>
  <c r="S8"/>
  <c r="R8"/>
  <c r="Q8"/>
  <c r="P8"/>
  <c r="O8"/>
  <c r="N8"/>
  <c r="X8" s="1"/>
  <c r="E8"/>
  <c r="J8" s="1"/>
  <c r="P9" s="1"/>
  <c r="B22" s="1"/>
  <c r="W7"/>
  <c r="V7"/>
  <c r="U7"/>
  <c r="T7"/>
  <c r="S7"/>
  <c r="R7"/>
  <c r="Q7"/>
  <c r="P7"/>
  <c r="O7"/>
  <c r="N7"/>
  <c r="X7" s="1"/>
  <c r="E7"/>
  <c r="J7" s="1"/>
  <c r="O9" s="1"/>
  <c r="B23" s="1"/>
  <c r="W6"/>
  <c r="W22" s="1"/>
  <c r="V6"/>
  <c r="V16" s="1"/>
  <c r="U6"/>
  <c r="U16" s="1"/>
  <c r="T6"/>
  <c r="T19" s="1"/>
  <c r="S6"/>
  <c r="S21" s="1"/>
  <c r="R6"/>
  <c r="R21" s="1"/>
  <c r="Q6"/>
  <c r="Q16" s="1"/>
  <c r="P6"/>
  <c r="P19" s="1"/>
  <c r="O6"/>
  <c r="O21" s="1"/>
  <c r="N6"/>
  <c r="N21" s="1"/>
  <c r="E6"/>
  <c r="J6" s="1"/>
  <c r="N9" s="1"/>
  <c r="X16" i="43" l="1"/>
  <c r="X19"/>
  <c r="X21"/>
  <c r="X13"/>
  <c r="X22"/>
  <c r="N16" i="42"/>
  <c r="R13"/>
  <c r="R16"/>
  <c r="F19"/>
  <c r="J19" s="1"/>
  <c r="J21" s="1"/>
  <c r="N30"/>
  <c r="X9"/>
  <c r="N26" s="1"/>
  <c r="B24"/>
  <c r="B30" s="1"/>
  <c r="N25"/>
  <c r="J30"/>
  <c r="X6"/>
  <c r="N24" s="1"/>
  <c r="P21"/>
  <c r="X21" s="1"/>
  <c r="N12"/>
  <c r="R12"/>
  <c r="V12"/>
  <c r="O13"/>
  <c r="S13"/>
  <c r="O16"/>
  <c r="S16"/>
  <c r="N19"/>
  <c r="R19"/>
  <c r="V19"/>
  <c r="Q21"/>
  <c r="U21"/>
  <c r="U22"/>
  <c r="X22" s="1"/>
  <c r="O12"/>
  <c r="S12"/>
  <c r="W12"/>
  <c r="P13"/>
  <c r="U13"/>
  <c r="P16"/>
  <c r="O19"/>
  <c r="S19"/>
  <c r="W19"/>
  <c r="V21"/>
  <c r="V22"/>
  <c r="T21"/>
  <c r="P12"/>
  <c r="T12"/>
  <c r="Q13"/>
  <c r="V13"/>
  <c r="W21"/>
  <c r="H30" i="39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J20"/>
  <c r="I20" s="1"/>
  <c r="H20" s="1"/>
  <c r="E20"/>
  <c r="V19"/>
  <c r="R19"/>
  <c r="E19"/>
  <c r="E18"/>
  <c r="J18" s="1"/>
  <c r="E17"/>
  <c r="J17" s="1"/>
  <c r="V16"/>
  <c r="J16"/>
  <c r="E16"/>
  <c r="E15"/>
  <c r="J15" s="1"/>
  <c r="V9" s="1"/>
  <c r="J14"/>
  <c r="U9" s="1"/>
  <c r="E14"/>
  <c r="V13"/>
  <c r="V12"/>
  <c r="T12"/>
  <c r="P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E8"/>
  <c r="J8" s="1"/>
  <c r="P9" s="1"/>
  <c r="B22" s="1"/>
  <c r="X7"/>
  <c r="N25" s="1"/>
  <c r="W7"/>
  <c r="V7"/>
  <c r="U7"/>
  <c r="T7"/>
  <c r="S7"/>
  <c r="R7"/>
  <c r="Q7"/>
  <c r="P7"/>
  <c r="O7"/>
  <c r="N7"/>
  <c r="E7"/>
  <c r="J7" s="1"/>
  <c r="O9" s="1"/>
  <c r="B23" s="1"/>
  <c r="W6"/>
  <c r="W16" s="1"/>
  <c r="V6"/>
  <c r="V22" s="1"/>
  <c r="U6"/>
  <c r="U19" s="1"/>
  <c r="T6"/>
  <c r="T21" s="1"/>
  <c r="S6"/>
  <c r="S21" s="1"/>
  <c r="R6"/>
  <c r="R21" s="1"/>
  <c r="Q6"/>
  <c r="Q19" s="1"/>
  <c r="P6"/>
  <c r="P21" s="1"/>
  <c r="O6"/>
  <c r="N6"/>
  <c r="N21" s="1"/>
  <c r="E6"/>
  <c r="J6" s="1"/>
  <c r="N9" s="1"/>
  <c r="X16" i="42" l="1"/>
  <c r="X13"/>
  <c r="X12"/>
  <c r="X19"/>
  <c r="R13" i="39"/>
  <c r="R12"/>
  <c r="R16"/>
  <c r="N19"/>
  <c r="X6"/>
  <c r="N24" s="1"/>
  <c r="N12"/>
  <c r="N13"/>
  <c r="N16"/>
  <c r="X9"/>
  <c r="N26" s="1"/>
  <c r="B24"/>
  <c r="B30" s="1"/>
  <c r="N30"/>
  <c r="F19"/>
  <c r="J19" s="1"/>
  <c r="J21" s="1"/>
  <c r="J30" s="1"/>
  <c r="O13"/>
  <c r="S13"/>
  <c r="O16"/>
  <c r="S16"/>
  <c r="Q21"/>
  <c r="U21"/>
  <c r="U22"/>
  <c r="O12"/>
  <c r="S12"/>
  <c r="W12"/>
  <c r="P13"/>
  <c r="U13"/>
  <c r="P16"/>
  <c r="U16"/>
  <c r="O19"/>
  <c r="S19"/>
  <c r="W19"/>
  <c r="V21"/>
  <c r="Q16"/>
  <c r="P19"/>
  <c r="X19" s="1"/>
  <c r="T19"/>
  <c r="O21"/>
  <c r="W21"/>
  <c r="W22"/>
  <c r="Q13"/>
  <c r="Q12"/>
  <c r="U12"/>
  <c r="W13"/>
  <c r="H30" i="38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J20"/>
  <c r="I20" s="1"/>
  <c r="H20" s="1"/>
  <c r="E20"/>
  <c r="V19"/>
  <c r="T19"/>
  <c r="R19"/>
  <c r="P19"/>
  <c r="E19"/>
  <c r="J18"/>
  <c r="E18"/>
  <c r="J17"/>
  <c r="E17"/>
  <c r="V16"/>
  <c r="E16"/>
  <c r="J16" s="1"/>
  <c r="E15"/>
  <c r="J15" s="1"/>
  <c r="V9" s="1"/>
  <c r="E14"/>
  <c r="J14" s="1"/>
  <c r="U9" s="1"/>
  <c r="V13"/>
  <c r="V12"/>
  <c r="T12"/>
  <c r="R12"/>
  <c r="P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J8"/>
  <c r="P9" s="1"/>
  <c r="B22" s="1"/>
  <c r="E8"/>
  <c r="X7"/>
  <c r="W7"/>
  <c r="V7"/>
  <c r="U7"/>
  <c r="T7"/>
  <c r="S7"/>
  <c r="R7"/>
  <c r="Q7"/>
  <c r="P7"/>
  <c r="O7"/>
  <c r="N7"/>
  <c r="E7"/>
  <c r="J7" s="1"/>
  <c r="O9" s="1"/>
  <c r="B23" s="1"/>
  <c r="W6"/>
  <c r="W16" s="1"/>
  <c r="V6"/>
  <c r="V22" s="1"/>
  <c r="U6"/>
  <c r="U19" s="1"/>
  <c r="T6"/>
  <c r="T21" s="1"/>
  <c r="S6"/>
  <c r="S21" s="1"/>
  <c r="R6"/>
  <c r="R16" s="1"/>
  <c r="Q6"/>
  <c r="Q19" s="1"/>
  <c r="P6"/>
  <c r="P21" s="1"/>
  <c r="O6"/>
  <c r="N6"/>
  <c r="N16" s="1"/>
  <c r="E6"/>
  <c r="J6" s="1"/>
  <c r="N9" s="1"/>
  <c r="X12" i="39" l="1"/>
  <c r="X21"/>
  <c r="X13"/>
  <c r="X22"/>
  <c r="X16"/>
  <c r="X6" i="38"/>
  <c r="N24" s="1"/>
  <c r="N19"/>
  <c r="N12"/>
  <c r="X9"/>
  <c r="N26" s="1"/>
  <c r="B24"/>
  <c r="B30" s="1"/>
  <c r="N25"/>
  <c r="N30"/>
  <c r="F19"/>
  <c r="J19" s="1"/>
  <c r="J21" s="1"/>
  <c r="J30"/>
  <c r="O13"/>
  <c r="S13"/>
  <c r="O16"/>
  <c r="S16"/>
  <c r="Q21"/>
  <c r="U21"/>
  <c r="U22"/>
  <c r="O12"/>
  <c r="S12"/>
  <c r="W12"/>
  <c r="P13"/>
  <c r="U13"/>
  <c r="P16"/>
  <c r="U16"/>
  <c r="O19"/>
  <c r="S19"/>
  <c r="W19"/>
  <c r="N21"/>
  <c r="R21"/>
  <c r="V21"/>
  <c r="O21"/>
  <c r="W21"/>
  <c r="W22"/>
  <c r="Q13"/>
  <c r="Q16"/>
  <c r="Q12"/>
  <c r="U12"/>
  <c r="N13"/>
  <c r="R13"/>
  <c r="W13"/>
  <c r="H30" i="37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E20"/>
  <c r="J20" s="1"/>
  <c r="I20" s="1"/>
  <c r="H20" s="1"/>
  <c r="W19"/>
  <c r="U19"/>
  <c r="Q19"/>
  <c r="E19"/>
  <c r="E18"/>
  <c r="J18" s="1"/>
  <c r="E17"/>
  <c r="J17" s="1"/>
  <c r="W16"/>
  <c r="U16"/>
  <c r="E16"/>
  <c r="J16" s="1"/>
  <c r="E15"/>
  <c r="J15" s="1"/>
  <c r="V9" s="1"/>
  <c r="E14"/>
  <c r="J14" s="1"/>
  <c r="U9" s="1"/>
  <c r="W13"/>
  <c r="U13"/>
  <c r="W12"/>
  <c r="U12"/>
  <c r="Q12"/>
  <c r="E12"/>
  <c r="J12" s="1"/>
  <c r="T9" s="1"/>
  <c r="B28" s="1"/>
  <c r="J11"/>
  <c r="S9" s="1"/>
  <c r="B25" s="1"/>
  <c r="E1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E8"/>
  <c r="J8" s="1"/>
  <c r="P9" s="1"/>
  <c r="B22" s="1"/>
  <c r="W7"/>
  <c r="V7"/>
  <c r="U7"/>
  <c r="T7"/>
  <c r="S7"/>
  <c r="R7"/>
  <c r="Q7"/>
  <c r="P7"/>
  <c r="O7"/>
  <c r="N7"/>
  <c r="X7" s="1"/>
  <c r="E7"/>
  <c r="J7" s="1"/>
  <c r="O9" s="1"/>
  <c r="B23" s="1"/>
  <c r="W6"/>
  <c r="W22" s="1"/>
  <c r="V6"/>
  <c r="V16" s="1"/>
  <c r="U6"/>
  <c r="U22" s="1"/>
  <c r="T6"/>
  <c r="T19" s="1"/>
  <c r="S6"/>
  <c r="S21" s="1"/>
  <c r="R6"/>
  <c r="R21" s="1"/>
  <c r="Q6"/>
  <c r="Q16" s="1"/>
  <c r="P6"/>
  <c r="P19" s="1"/>
  <c r="O6"/>
  <c r="O21" s="1"/>
  <c r="N6"/>
  <c r="N21" s="1"/>
  <c r="E6"/>
  <c r="J6" s="1"/>
  <c r="N9" s="1"/>
  <c r="X12" i="38" l="1"/>
  <c r="X16"/>
  <c r="X13"/>
  <c r="X19"/>
  <c r="X22"/>
  <c r="X21"/>
  <c r="N13" i="37"/>
  <c r="X6"/>
  <c r="N24" s="1"/>
  <c r="S19"/>
  <c r="S12"/>
  <c r="R13"/>
  <c r="O12"/>
  <c r="O19"/>
  <c r="F19"/>
  <c r="J19" s="1"/>
  <c r="J21" s="1"/>
  <c r="J30" s="1"/>
  <c r="N30"/>
  <c r="N25"/>
  <c r="X9"/>
  <c r="N26" s="1"/>
  <c r="B24"/>
  <c r="B30"/>
  <c r="N16"/>
  <c r="R16"/>
  <c r="P21"/>
  <c r="X21" s="1"/>
  <c r="T21"/>
  <c r="N12"/>
  <c r="R12"/>
  <c r="V12"/>
  <c r="O13"/>
  <c r="S13"/>
  <c r="O16"/>
  <c r="S16"/>
  <c r="N19"/>
  <c r="R19"/>
  <c r="V19"/>
  <c r="Q21"/>
  <c r="U21"/>
  <c r="P13"/>
  <c r="P16"/>
  <c r="V21"/>
  <c r="V22"/>
  <c r="X22" s="1"/>
  <c r="P12"/>
  <c r="T12"/>
  <c r="Q13"/>
  <c r="V13"/>
  <c r="W21"/>
  <c r="H30" i="36"/>
  <c r="D30"/>
  <c r="C30"/>
  <c r="N27" s="1"/>
  <c r="G29"/>
  <c r="H29" s="1"/>
  <c r="B29"/>
  <c r="N28"/>
  <c r="N29" s="1"/>
  <c r="J28"/>
  <c r="J27"/>
  <c r="J29" s="1"/>
  <c r="J26"/>
  <c r="J25"/>
  <c r="H24"/>
  <c r="I24" s="1"/>
  <c r="J24" s="1"/>
  <c r="H23"/>
  <c r="I23" s="1"/>
  <c r="J23" s="1"/>
  <c r="H22"/>
  <c r="I22" s="1"/>
  <c r="J22" s="1"/>
  <c r="X20"/>
  <c r="J20"/>
  <c r="I20" s="1"/>
  <c r="H20" s="1"/>
  <c r="E20"/>
  <c r="V19"/>
  <c r="R19"/>
  <c r="N19"/>
  <c r="E19"/>
  <c r="E18"/>
  <c r="J18" s="1"/>
  <c r="E17"/>
  <c r="J17" s="1"/>
  <c r="V16"/>
  <c r="E16"/>
  <c r="J16" s="1"/>
  <c r="J15"/>
  <c r="V9" s="1"/>
  <c r="E15"/>
  <c r="E14"/>
  <c r="J14" s="1"/>
  <c r="U9" s="1"/>
  <c r="V13"/>
  <c r="V12"/>
  <c r="T12"/>
  <c r="R12"/>
  <c r="P12"/>
  <c r="E12"/>
  <c r="J12" s="1"/>
  <c r="T9" s="1"/>
  <c r="B28" s="1"/>
  <c r="E11"/>
  <c r="J11" s="1"/>
  <c r="S9" s="1"/>
  <c r="B25" s="1"/>
  <c r="E10"/>
  <c r="J10" s="1"/>
  <c r="R9" s="1"/>
  <c r="B26" s="1"/>
  <c r="E9"/>
  <c r="J9" s="1"/>
  <c r="Q9" s="1"/>
  <c r="B27" s="1"/>
  <c r="W8"/>
  <c r="V8"/>
  <c r="U8"/>
  <c r="T8"/>
  <c r="S8"/>
  <c r="R8"/>
  <c r="Q8"/>
  <c r="P8"/>
  <c r="O8"/>
  <c r="N8"/>
  <c r="X8" s="1"/>
  <c r="E8"/>
  <c r="J8" s="1"/>
  <c r="P9" s="1"/>
  <c r="B22" s="1"/>
  <c r="X7"/>
  <c r="N25" s="1"/>
  <c r="W7"/>
  <c r="V7"/>
  <c r="U7"/>
  <c r="T7"/>
  <c r="S7"/>
  <c r="R7"/>
  <c r="Q7"/>
  <c r="P7"/>
  <c r="O7"/>
  <c r="N7"/>
  <c r="E7"/>
  <c r="J7" s="1"/>
  <c r="O9" s="1"/>
  <c r="B23" s="1"/>
  <c r="W6"/>
  <c r="W16" s="1"/>
  <c r="V6"/>
  <c r="V22" s="1"/>
  <c r="U6"/>
  <c r="U19" s="1"/>
  <c r="T6"/>
  <c r="T21" s="1"/>
  <c r="S6"/>
  <c r="S21" s="1"/>
  <c r="R6"/>
  <c r="R16" s="1"/>
  <c r="Q6"/>
  <c r="Q19" s="1"/>
  <c r="P6"/>
  <c r="P21" s="1"/>
  <c r="O6"/>
  <c r="O21" s="1"/>
  <c r="N6"/>
  <c r="N16" s="1"/>
  <c r="E6"/>
  <c r="J6" s="1"/>
  <c r="N9" s="1"/>
  <c r="X19" i="37" l="1"/>
  <c r="X13"/>
  <c r="X12"/>
  <c r="X16"/>
  <c r="O16" i="36"/>
  <c r="X16" s="1"/>
  <c r="S13"/>
  <c r="S16"/>
  <c r="O13"/>
  <c r="N12"/>
  <c r="X9"/>
  <c r="N26" s="1"/>
  <c r="B24"/>
  <c r="B30"/>
  <c r="N30"/>
  <c r="F19"/>
  <c r="J19" s="1"/>
  <c r="J21" s="1"/>
  <c r="J30" s="1"/>
  <c r="Q21"/>
  <c r="U21"/>
  <c r="U22"/>
  <c r="X22" s="1"/>
  <c r="O12"/>
  <c r="S12"/>
  <c r="W12"/>
  <c r="P13"/>
  <c r="U13"/>
  <c r="P16"/>
  <c r="U16"/>
  <c r="O19"/>
  <c r="S19"/>
  <c r="W19"/>
  <c r="N21"/>
  <c r="R21"/>
  <c r="V21"/>
  <c r="Q16"/>
  <c r="P19"/>
  <c r="T19"/>
  <c r="W21"/>
  <c r="W22"/>
  <c r="Q13"/>
  <c r="X6"/>
  <c r="N24" s="1"/>
  <c r="Q12"/>
  <c r="U12"/>
  <c r="N13"/>
  <c r="R13"/>
  <c r="W13"/>
  <c r="X19" l="1"/>
  <c r="X12"/>
  <c r="X13"/>
  <c r="X21"/>
</calcChain>
</file>

<file path=xl/sharedStrings.xml><?xml version="1.0" encoding="utf-8"?>
<sst xmlns="http://schemas.openxmlformats.org/spreadsheetml/2006/main" count="1573" uniqueCount="115">
  <si>
    <t xml:space="preserve">                                                                                                                                        </t>
  </si>
  <si>
    <t>GCPW  UNIT Birla Gram, NAGDA ( M. P . )</t>
  </si>
  <si>
    <t>PRODUCT- CHLORINATED PARAFFIN  Production Report</t>
  </si>
  <si>
    <t>Production &amp; dispatch detail</t>
  </si>
  <si>
    <t>SAP Code</t>
  </si>
  <si>
    <t>PRODUCT NAME</t>
  </si>
  <si>
    <t>OPENING BALANCE             (MT)</t>
  </si>
  <si>
    <t>PRODUCTION  (MT)</t>
  </si>
  <si>
    <t>TOTAL   (MT)</t>
  </si>
  <si>
    <t>DISPATCH  (MT)</t>
  </si>
  <si>
    <t>CLOSING BALANCE             (MT)
SAP</t>
  </si>
  <si>
    <t>GRADES</t>
  </si>
  <si>
    <t>S4/66</t>
  </si>
  <si>
    <t>S4/67</t>
  </si>
  <si>
    <t>S4/68</t>
  </si>
  <si>
    <t>S4/69</t>
  </si>
  <si>
    <t>S4/70</t>
  </si>
  <si>
    <t>S4/71</t>
  </si>
  <si>
    <t>S4/72</t>
  </si>
  <si>
    <t>S4/73</t>
  </si>
  <si>
    <t>S4/74</t>
  </si>
  <si>
    <t>S4/75</t>
  </si>
  <si>
    <t>Party</t>
  </si>
  <si>
    <t>Depo</t>
  </si>
  <si>
    <t>A1/62</t>
  </si>
  <si>
    <t>A1/65</t>
  </si>
  <si>
    <t>A1/68</t>
  </si>
  <si>
    <t>A2/52</t>
  </si>
  <si>
    <t>A2/54</t>
  </si>
  <si>
    <t>A2/58</t>
  </si>
  <si>
    <t>A3/42</t>
  </si>
  <si>
    <t>B1/62</t>
  </si>
  <si>
    <t>B2/52</t>
  </si>
  <si>
    <t>B2/54</t>
  </si>
  <si>
    <t xml:space="preserve">Total </t>
  </si>
  <si>
    <t>S40000000066</t>
  </si>
  <si>
    <t xml:space="preserve"> ON DATE PRODUCTION  (MT)</t>
  </si>
  <si>
    <t>S40000000067</t>
  </si>
  <si>
    <t>DISPATCH PARTY     (MT)</t>
  </si>
  <si>
    <t>S40000000068</t>
  </si>
  <si>
    <t xml:space="preserve">DISPATCH  DELHI DEPO    (MT) </t>
  </si>
  <si>
    <t>S40000000069</t>
  </si>
  <si>
    <t>Stock at  Plant</t>
  </si>
  <si>
    <t>S40000000070</t>
  </si>
  <si>
    <t xml:space="preserve">     </t>
  </si>
  <si>
    <t>S40000000071</t>
  </si>
  <si>
    <t>CONSUMPTION</t>
  </si>
  <si>
    <t>S40000000072</t>
  </si>
  <si>
    <t>.</t>
  </si>
  <si>
    <t>A. Paraffin (MT) NP / LNP / HNP / Waxol</t>
  </si>
  <si>
    <t>B. Steam (MT)</t>
  </si>
  <si>
    <t>S40000000073</t>
  </si>
  <si>
    <t>S40000000074</t>
  </si>
  <si>
    <t>S40000000075</t>
  </si>
  <si>
    <t>C. Chlorine (MT )</t>
  </si>
  <si>
    <t>S40000000076</t>
  </si>
  <si>
    <t>B2/58</t>
  </si>
  <si>
    <t>S40000000077</t>
  </si>
  <si>
    <t>B3/42</t>
  </si>
  <si>
    <t>HCl</t>
  </si>
  <si>
    <t>TK 330 A</t>
  </si>
  <si>
    <t>D.Barrel  (Nos)</t>
  </si>
  <si>
    <t>TK 330 B</t>
  </si>
  <si>
    <t>E.Epoxy oil (Kg)</t>
  </si>
  <si>
    <t>Grade</t>
  </si>
  <si>
    <t>SAP Stock</t>
  </si>
  <si>
    <t>Saleable quantity</t>
  </si>
  <si>
    <t>Off spec material</t>
  </si>
  <si>
    <t>%</t>
  </si>
  <si>
    <t>F. Epotek   ( Kg )</t>
  </si>
  <si>
    <t>A1-68</t>
  </si>
  <si>
    <t>Tank-A</t>
  </si>
  <si>
    <t>G.Additive (gram)</t>
  </si>
  <si>
    <t>A1-65</t>
  </si>
  <si>
    <t>Tank-B</t>
  </si>
  <si>
    <t>Report Summary</t>
  </si>
  <si>
    <t>A1-62</t>
  </si>
  <si>
    <t>Tank-C</t>
  </si>
  <si>
    <t>On date CP production</t>
  </si>
  <si>
    <t>MT</t>
  </si>
  <si>
    <t>A2-58</t>
  </si>
  <si>
    <t>Degassing tank A</t>
  </si>
  <si>
    <t>Dispatch yesterday</t>
  </si>
  <si>
    <t>A2-54</t>
  </si>
  <si>
    <t>Degassing tank D</t>
  </si>
  <si>
    <t>CP Stock</t>
  </si>
  <si>
    <t>A2-52</t>
  </si>
  <si>
    <t>Sale in tanker</t>
  </si>
  <si>
    <t xml:space="preserve"> </t>
  </si>
  <si>
    <t>Saleable CP QTY</t>
  </si>
  <si>
    <t>A3-42</t>
  </si>
  <si>
    <t>Transfer in PAC</t>
  </si>
  <si>
    <t>HCl Production (32% Basis)</t>
  </si>
  <si>
    <t>B2-54</t>
  </si>
  <si>
    <t>Sale/PAC</t>
  </si>
  <si>
    <t>HCl Production (100% Basis)</t>
  </si>
  <si>
    <t>Total</t>
  </si>
  <si>
    <t>Prodn.=&gt;</t>
  </si>
  <si>
    <t>HCl Dispatch/Pac Yeaterday</t>
  </si>
  <si>
    <t xml:space="preserve">REMARKS:- </t>
  </si>
  <si>
    <t>FOR CALCULATION</t>
  </si>
  <si>
    <t>10 MT Black material  (Off speck laying 2 month old)</t>
  </si>
  <si>
    <t>We are selling material  produced after 26/03 as per giude line of seniors</t>
  </si>
  <si>
    <t>31.05.18</t>
  </si>
  <si>
    <t>01.06.18</t>
  </si>
  <si>
    <t>02.06.18</t>
  </si>
  <si>
    <t>03.06.18</t>
  </si>
  <si>
    <t>05.06.18</t>
  </si>
  <si>
    <t>06.06.2018</t>
  </si>
  <si>
    <t>07.06.18</t>
  </si>
  <si>
    <t>08.06.2018</t>
  </si>
  <si>
    <t>09.06.2018</t>
  </si>
  <si>
    <t>10.06.2018</t>
  </si>
  <si>
    <t>11.06.18</t>
  </si>
  <si>
    <t>12.06.2018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</si>
</sst>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0.000"/>
    <numFmt numFmtId="166" formatCode="0.0"/>
    <numFmt numFmtId="167" formatCode="_(* #,##0_);_(* \(#,##0\);_(* &quot;-&quot;??_);_(@_)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</font>
    <font>
      <sz val="14"/>
      <name val="Calibri"/>
      <family val="2"/>
      <scheme val="minor"/>
    </font>
    <font>
      <b/>
      <sz val="12"/>
      <color indexed="9"/>
      <name val="Calibri"/>
      <family val="2"/>
    </font>
    <font>
      <b/>
      <sz val="16"/>
      <color rgb="FF00B050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"/>
      <family val="2"/>
    </font>
    <font>
      <sz val="14"/>
      <name val="Arial"/>
      <family val="2"/>
    </font>
    <font>
      <b/>
      <sz val="28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20"/>
      <name val="Calibri"/>
      <family val="2"/>
      <scheme val="minor"/>
    </font>
    <font>
      <b/>
      <sz val="14"/>
      <name val="Arial"/>
      <family val="2"/>
    </font>
    <font>
      <b/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6"/>
      <color indexed="9"/>
      <name val="Calibri"/>
      <family val="2"/>
      <scheme val="minor"/>
    </font>
    <font>
      <b/>
      <sz val="18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vertical="center"/>
      <protection hidden="1"/>
    </xf>
    <xf numFmtId="0" fontId="4" fillId="0" borderId="0" xfId="0" applyFont="1" applyBorder="1" applyAlignment="1" applyProtection="1">
      <alignment vertical="center"/>
      <protection hidden="1"/>
    </xf>
    <xf numFmtId="0" fontId="5" fillId="2" borderId="2" xfId="0" applyFont="1" applyFill="1" applyBorder="1" applyAlignment="1" applyProtection="1">
      <alignment vertical="center"/>
      <protection hidden="1"/>
    </xf>
    <xf numFmtId="0" fontId="6" fillId="2" borderId="3" xfId="0" applyFont="1" applyFill="1" applyBorder="1" applyAlignment="1" applyProtection="1">
      <alignment vertical="center"/>
      <protection hidden="1"/>
    </xf>
    <xf numFmtId="0" fontId="6" fillId="3" borderId="3" xfId="0" applyFont="1" applyFill="1" applyBorder="1" applyAlignment="1" applyProtection="1">
      <alignment vertical="center"/>
      <protection hidden="1"/>
    </xf>
    <xf numFmtId="0" fontId="5" fillId="3" borderId="4" xfId="0" applyFont="1" applyFill="1" applyBorder="1" applyAlignment="1" applyProtection="1">
      <alignment vertical="center"/>
      <protection locked="0" hidden="1"/>
    </xf>
    <xf numFmtId="0" fontId="7" fillId="0" borderId="5" xfId="0" applyFont="1" applyFill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vertical="center" wrapText="1"/>
      <protection hidden="1"/>
    </xf>
    <xf numFmtId="0" fontId="8" fillId="2" borderId="25" xfId="0" applyFont="1" applyFill="1" applyBorder="1" applyAlignment="1" applyProtection="1">
      <alignment horizontal="center" vertical="center" wrapText="1"/>
      <protection hidden="1"/>
    </xf>
    <xf numFmtId="0" fontId="8" fillId="2" borderId="26" xfId="0" applyFont="1" applyFill="1" applyBorder="1" applyAlignment="1" applyProtection="1">
      <alignment horizontal="center" vertical="center" wrapText="1"/>
      <protection hidden="1"/>
    </xf>
    <xf numFmtId="0" fontId="9" fillId="5" borderId="5" xfId="0" applyFont="1" applyFill="1" applyBorder="1" applyAlignment="1" applyProtection="1">
      <alignment horizontal="center" vertical="center" wrapText="1"/>
      <protection hidden="1"/>
    </xf>
    <xf numFmtId="0" fontId="3" fillId="6" borderId="5" xfId="0" applyFont="1" applyFill="1" applyBorder="1" applyAlignment="1" applyProtection="1">
      <alignment horizontal="center" vertical="center" wrapText="1"/>
      <protection hidden="1"/>
    </xf>
    <xf numFmtId="0" fontId="6" fillId="7" borderId="32" xfId="0" applyFont="1" applyFill="1" applyBorder="1" applyAlignment="1" applyProtection="1">
      <alignment horizontal="center" vertical="center"/>
      <protection hidden="1"/>
    </xf>
    <xf numFmtId="0" fontId="6" fillId="7" borderId="33" xfId="0" applyFont="1" applyFill="1" applyBorder="1" applyAlignment="1" applyProtection="1">
      <alignment horizontal="center" vertical="center" wrapText="1"/>
      <protection hidden="1"/>
    </xf>
    <xf numFmtId="164" fontId="5" fillId="3" borderId="32" xfId="0" applyNumberFormat="1" applyFont="1" applyFill="1" applyBorder="1" applyAlignment="1" applyProtection="1">
      <alignment horizontal="center" vertical="center" wrapText="1"/>
      <protection locked="0" hidden="1"/>
    </xf>
    <xf numFmtId="165" fontId="5" fillId="8" borderId="33" xfId="0" applyNumberFormat="1" applyFont="1" applyFill="1" applyBorder="1" applyAlignment="1" applyProtection="1">
      <alignment horizontal="left" vertical="center" wrapText="1"/>
      <protection hidden="1"/>
    </xf>
    <xf numFmtId="164" fontId="5" fillId="3" borderId="35" xfId="0" applyNumberFormat="1" applyFont="1" applyFill="1" applyBorder="1" applyAlignment="1" applyProtection="1">
      <alignment horizontal="center" vertical="center"/>
      <protection locked="0" hidden="1"/>
    </xf>
    <xf numFmtId="164" fontId="5" fillId="3" borderId="5" xfId="0" applyNumberFormat="1" applyFont="1" applyFill="1" applyBorder="1" applyAlignment="1" applyProtection="1">
      <alignment horizontal="center" vertical="center"/>
      <protection locked="0" hidden="1"/>
    </xf>
    <xf numFmtId="165" fontId="5" fillId="8" borderId="5" xfId="0" applyNumberFormat="1" applyFont="1" applyFill="1" applyBorder="1" applyAlignment="1" applyProtection="1">
      <alignment horizontal="center" vertical="center"/>
      <protection hidden="1"/>
    </xf>
    <xf numFmtId="165" fontId="10" fillId="8" borderId="33" xfId="0" applyNumberFormat="1" applyFont="1" applyFill="1" applyBorder="1" applyAlignment="1" applyProtection="1">
      <alignment horizontal="left" vertical="center"/>
      <protection hidden="1"/>
    </xf>
    <xf numFmtId="164" fontId="11" fillId="9" borderId="5" xfId="0" applyNumberFormat="1" applyFont="1" applyFill="1" applyBorder="1" applyAlignment="1" applyProtection="1">
      <alignment horizontal="center" vertical="center"/>
      <protection hidden="1"/>
    </xf>
    <xf numFmtId="164" fontId="11" fillId="9" borderId="5" xfId="0" applyNumberFormat="1" applyFont="1" applyFill="1" applyBorder="1" applyAlignment="1" applyProtection="1">
      <alignment horizontal="center" vertical="center" wrapText="1"/>
      <protection hidden="1"/>
    </xf>
    <xf numFmtId="166" fontId="5" fillId="8" borderId="5" xfId="0" applyNumberFormat="1" applyFont="1" applyFill="1" applyBorder="1" applyAlignment="1" applyProtection="1">
      <alignment horizontal="center" vertical="center"/>
      <protection hidden="1"/>
    </xf>
    <xf numFmtId="164" fontId="5" fillId="9" borderId="5" xfId="0" applyNumberFormat="1" applyFont="1" applyFill="1" applyBorder="1" applyAlignment="1" applyProtection="1">
      <alignment horizontal="center" vertical="center"/>
      <protection hidden="1"/>
    </xf>
    <xf numFmtId="2" fontId="12" fillId="8" borderId="5" xfId="0" applyNumberFormat="1" applyFont="1" applyFill="1" applyBorder="1" applyAlignment="1" applyProtection="1">
      <alignment horizontal="center" vertical="center" wrapText="1"/>
      <protection hidden="1"/>
    </xf>
    <xf numFmtId="164" fontId="12" fillId="8" borderId="5" xfId="0" applyNumberFormat="1" applyFont="1" applyFill="1" applyBorder="1" applyAlignment="1" applyProtection="1">
      <alignment horizontal="center" vertical="center"/>
      <protection hidden="1"/>
    </xf>
    <xf numFmtId="165" fontId="12" fillId="8" borderId="5" xfId="0" applyNumberFormat="1" applyFont="1" applyFill="1" applyBorder="1" applyAlignment="1" applyProtection="1">
      <alignment horizontal="left" vertical="center"/>
      <protection hidden="1"/>
    </xf>
    <xf numFmtId="165" fontId="12" fillId="8" borderId="5" xfId="0" applyNumberFormat="1" applyFont="1" applyFill="1" applyBorder="1" applyAlignment="1" applyProtection="1">
      <alignment horizontal="center" vertical="center" wrapText="1"/>
      <protection hidden="1"/>
    </xf>
    <xf numFmtId="164" fontId="11" fillId="11" borderId="5" xfId="0" applyNumberFormat="1" applyFont="1" applyFill="1" applyBorder="1" applyAlignment="1" applyProtection="1">
      <alignment horizontal="center" vertical="center"/>
      <protection hidden="1"/>
    </xf>
    <xf numFmtId="0" fontId="6" fillId="10" borderId="37" xfId="0" applyFont="1" applyFill="1" applyBorder="1" applyAlignment="1" applyProtection="1">
      <alignment vertical="center"/>
      <protection hidden="1"/>
    </xf>
    <xf numFmtId="0" fontId="6" fillId="10" borderId="36" xfId="0" applyFont="1" applyFill="1" applyBorder="1" applyAlignment="1" applyProtection="1">
      <alignment vertical="center"/>
      <protection hidden="1"/>
    </xf>
    <xf numFmtId="164" fontId="5" fillId="10" borderId="36" xfId="0" applyNumberFormat="1" applyFont="1" applyFill="1" applyBorder="1" applyAlignment="1" applyProtection="1">
      <alignment vertical="center"/>
      <protection locked="0" hidden="1"/>
    </xf>
    <xf numFmtId="0" fontId="11" fillId="11" borderId="5" xfId="0" applyFont="1" applyFill="1" applyBorder="1" applyAlignment="1" applyProtection="1">
      <alignment vertical="center"/>
      <protection hidden="1"/>
    </xf>
    <xf numFmtId="0" fontId="2" fillId="11" borderId="5" xfId="0" applyFont="1" applyFill="1" applyBorder="1" applyProtection="1">
      <protection hidden="1"/>
    </xf>
    <xf numFmtId="0" fontId="15" fillId="0" borderId="0" xfId="0" applyFont="1" applyBorder="1" applyProtection="1">
      <protection hidden="1"/>
    </xf>
    <xf numFmtId="2" fontId="5" fillId="8" borderId="33" xfId="0" applyNumberFormat="1" applyFont="1" applyFill="1" applyBorder="1" applyAlignment="1" applyProtection="1">
      <alignment horizontal="left" vertical="center" wrapText="1"/>
      <protection hidden="1"/>
    </xf>
    <xf numFmtId="165" fontId="2" fillId="0" borderId="0" xfId="0" applyNumberFormat="1" applyFont="1" applyFill="1" applyBorder="1" applyAlignment="1" applyProtection="1">
      <alignment horizontal="center" vertical="center"/>
      <protection hidden="1"/>
    </xf>
    <xf numFmtId="165" fontId="5" fillId="8" borderId="33" xfId="0" applyNumberFormat="1" applyFont="1" applyFill="1" applyBorder="1" applyAlignment="1" applyProtection="1">
      <alignment horizontal="left" vertical="center"/>
      <protection hidden="1"/>
    </xf>
    <xf numFmtId="0" fontId="6" fillId="7" borderId="38" xfId="0" applyFont="1" applyFill="1" applyBorder="1" applyAlignment="1" applyProtection="1">
      <alignment horizontal="center" vertical="center"/>
      <protection hidden="1"/>
    </xf>
    <xf numFmtId="0" fontId="6" fillId="7" borderId="39" xfId="0" applyFont="1" applyFill="1" applyBorder="1" applyAlignment="1" applyProtection="1">
      <alignment horizontal="center" vertical="center" wrapText="1"/>
      <protection hidden="1"/>
    </xf>
    <xf numFmtId="164" fontId="5" fillId="3" borderId="38" xfId="0" applyNumberFormat="1" applyFont="1" applyFill="1" applyBorder="1" applyAlignment="1" applyProtection="1">
      <alignment horizontal="center" vertical="center" wrapText="1"/>
      <protection locked="0" hidden="1"/>
    </xf>
    <xf numFmtId="165" fontId="5" fillId="8" borderId="39" xfId="0" applyNumberFormat="1" applyFont="1" applyFill="1" applyBorder="1" applyAlignment="1" applyProtection="1">
      <alignment horizontal="left" vertical="center" wrapText="1"/>
      <protection hidden="1"/>
    </xf>
    <xf numFmtId="164" fontId="5" fillId="3" borderId="21" xfId="0" applyNumberFormat="1" applyFont="1" applyFill="1" applyBorder="1" applyAlignment="1" applyProtection="1">
      <alignment horizontal="center" vertical="center"/>
      <protection locked="0" hidden="1"/>
    </xf>
    <xf numFmtId="164" fontId="5" fillId="3" borderId="40" xfId="0" applyNumberFormat="1" applyFont="1" applyFill="1" applyBorder="1" applyAlignment="1" applyProtection="1">
      <alignment horizontal="center" vertical="center"/>
      <protection locked="0" hidden="1"/>
    </xf>
    <xf numFmtId="165" fontId="5" fillId="8" borderId="40" xfId="0" applyNumberFormat="1" applyFont="1" applyFill="1" applyBorder="1" applyAlignment="1" applyProtection="1">
      <alignment horizontal="center" vertical="center"/>
      <protection hidden="1"/>
    </xf>
    <xf numFmtId="166" fontId="5" fillId="8" borderId="40" xfId="0" applyNumberFormat="1" applyFont="1" applyFill="1" applyBorder="1" applyAlignment="1" applyProtection="1">
      <alignment horizontal="center" vertical="center"/>
      <protection hidden="1"/>
    </xf>
    <xf numFmtId="165" fontId="5" fillId="8" borderId="39" xfId="0" applyNumberFormat="1" applyFont="1" applyFill="1" applyBorder="1" applyAlignment="1" applyProtection="1">
      <alignment horizontal="left" vertical="center"/>
      <protection hidden="1"/>
    </xf>
    <xf numFmtId="0" fontId="6" fillId="2" borderId="41" xfId="0" applyFont="1" applyFill="1" applyBorder="1" applyAlignment="1" applyProtection="1">
      <alignment horizontal="center" vertical="center" wrapText="1"/>
      <protection hidden="1"/>
    </xf>
    <xf numFmtId="2" fontId="5" fillId="3" borderId="4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8" borderId="41" xfId="0" applyNumberFormat="1" applyFont="1" applyFill="1" applyBorder="1" applyAlignment="1" applyProtection="1">
      <alignment horizontal="left" vertical="center"/>
      <protection hidden="1"/>
    </xf>
    <xf numFmtId="166" fontId="5" fillId="12" borderId="9" xfId="0" applyNumberFormat="1" applyFont="1" applyFill="1" applyBorder="1" applyAlignment="1" applyProtection="1">
      <alignment horizontal="center" vertical="center"/>
      <protection hidden="1"/>
    </xf>
    <xf numFmtId="2" fontId="5" fillId="4" borderId="10" xfId="0" applyNumberFormat="1" applyFont="1" applyFill="1" applyBorder="1" applyAlignment="1" applyProtection="1">
      <alignment horizontal="center" vertical="center"/>
      <protection locked="0" hidden="1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65" fontId="5" fillId="8" borderId="10" xfId="0" applyNumberFormat="1" applyFont="1" applyFill="1" applyBorder="1" applyAlignment="1" applyProtection="1">
      <alignment horizontal="center" vertical="center"/>
      <protection hidden="1"/>
    </xf>
    <xf numFmtId="2" fontId="5" fillId="8" borderId="41" xfId="0" applyNumberFormat="1" applyFont="1" applyFill="1" applyBorder="1" applyAlignment="1" applyProtection="1">
      <alignment horizontal="left" vertical="center"/>
      <protection hidden="1"/>
    </xf>
    <xf numFmtId="0" fontId="11" fillId="11" borderId="5" xfId="0" applyFont="1" applyFill="1" applyBorder="1" applyAlignment="1" applyProtection="1">
      <alignment horizontal="left" vertical="center"/>
      <protection hidden="1"/>
    </xf>
    <xf numFmtId="167" fontId="11" fillId="11" borderId="5" xfId="0" applyNumberFormat="1" applyFont="1" applyFill="1" applyBorder="1" applyAlignment="1" applyProtection="1">
      <alignment horizontal="center" vertical="center"/>
      <protection hidden="1"/>
    </xf>
    <xf numFmtId="0" fontId="17" fillId="2" borderId="43" xfId="0" applyFont="1" applyFill="1" applyBorder="1" applyAlignment="1" applyProtection="1">
      <alignment horizontal="center" vertical="center" wrapText="1"/>
      <protection hidden="1"/>
    </xf>
    <xf numFmtId="165" fontId="17" fillId="2" borderId="44" xfId="0" applyNumberFormat="1" applyFont="1" applyFill="1" applyBorder="1" applyAlignment="1" applyProtection="1">
      <alignment horizontal="center" vertical="center"/>
      <protection locked="0" hidden="1"/>
    </xf>
    <xf numFmtId="165" fontId="17" fillId="9" borderId="45" xfId="0" applyNumberFormat="1" applyFont="1" applyFill="1" applyBorder="1" applyAlignment="1" applyProtection="1">
      <alignment horizontal="center" vertical="center" wrapText="1"/>
      <protection locked="0" hidden="1"/>
    </xf>
    <xf numFmtId="166" fontId="17" fillId="2" borderId="43" xfId="0" applyNumberFormat="1" applyFont="1" applyFill="1" applyBorder="1" applyAlignment="1" applyProtection="1">
      <alignment horizontal="center" vertical="center"/>
      <protection hidden="1"/>
    </xf>
    <xf numFmtId="165" fontId="17" fillId="9" borderId="17" xfId="0" applyNumberFormat="1" applyFont="1" applyFill="1" applyBorder="1" applyAlignment="1" applyProtection="1">
      <alignment horizontal="center" vertical="center"/>
      <protection hidden="1"/>
    </xf>
    <xf numFmtId="2" fontId="17" fillId="0" borderId="18" xfId="0" applyNumberFormat="1" applyFont="1" applyFill="1" applyBorder="1" applyAlignment="1" applyProtection="1">
      <alignment horizontal="center" vertical="center"/>
      <protection hidden="1"/>
    </xf>
    <xf numFmtId="1" fontId="17" fillId="2" borderId="18" xfId="0" applyNumberFormat="1" applyFont="1" applyFill="1" applyBorder="1" applyAlignment="1" applyProtection="1">
      <alignment horizontal="center" vertical="center"/>
      <protection hidden="1"/>
    </xf>
    <xf numFmtId="165" fontId="17" fillId="2" borderId="18" xfId="0" applyNumberFormat="1" applyFont="1" applyFill="1" applyBorder="1" applyAlignment="1" applyProtection="1">
      <alignment horizontal="center" vertical="center"/>
      <protection hidden="1"/>
    </xf>
    <xf numFmtId="165" fontId="17" fillId="2" borderId="43" xfId="0" applyNumberFormat="1" applyFont="1" applyFill="1" applyBorder="1" applyAlignment="1" applyProtection="1">
      <alignment horizontal="center" vertical="center"/>
      <protection hidden="1"/>
    </xf>
    <xf numFmtId="0" fontId="18" fillId="8" borderId="42" xfId="0" applyFont="1" applyFill="1" applyBorder="1" applyAlignment="1" applyProtection="1">
      <alignment vertical="top" wrapText="1"/>
      <protection hidden="1"/>
    </xf>
    <xf numFmtId="0" fontId="19" fillId="8" borderId="10" xfId="0" applyFont="1" applyFill="1" applyBorder="1" applyAlignment="1" applyProtection="1">
      <alignment vertical="top" wrapText="1"/>
      <protection hidden="1"/>
    </xf>
    <xf numFmtId="0" fontId="19" fillId="8" borderId="10" xfId="0" applyFont="1" applyFill="1" applyBorder="1" applyAlignment="1" applyProtection="1">
      <alignment vertical="top" wrapText="1"/>
      <protection locked="0" hidden="1"/>
    </xf>
    <xf numFmtId="0" fontId="20" fillId="0" borderId="41" xfId="0" applyFont="1" applyBorder="1" applyAlignment="1" applyProtection="1">
      <alignment horizontal="center" vertical="top" wrapText="1"/>
      <protection locked="0" hidden="1"/>
    </xf>
    <xf numFmtId="165" fontId="2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165" fontId="2" fillId="0" borderId="10" xfId="0" applyNumberFormat="1" applyFont="1" applyBorder="1" applyAlignment="1" applyProtection="1">
      <alignment horizontal="center"/>
      <protection hidden="1"/>
    </xf>
    <xf numFmtId="165" fontId="2" fillId="13" borderId="41" xfId="0" applyNumberFormat="1" applyFont="1" applyFill="1" applyBorder="1" applyAlignment="1" applyProtection="1">
      <alignment horizontal="center" vertical="center"/>
      <protection hidden="1"/>
    </xf>
    <xf numFmtId="0" fontId="18" fillId="8" borderId="32" xfId="0" applyFont="1" applyFill="1" applyBorder="1" applyAlignment="1" applyProtection="1">
      <alignment vertical="top"/>
      <protection hidden="1"/>
    </xf>
    <xf numFmtId="2" fontId="18" fillId="14" borderId="5" xfId="0" applyNumberFormat="1" applyFont="1" applyFill="1" applyBorder="1" applyAlignment="1" applyProtection="1">
      <alignment vertical="top"/>
      <protection hidden="1"/>
    </xf>
    <xf numFmtId="2" fontId="18" fillId="3" borderId="5" xfId="0" applyNumberFormat="1" applyFont="1" applyFill="1" applyBorder="1" applyAlignment="1" applyProtection="1">
      <alignment vertical="top"/>
      <protection locked="0" hidden="1"/>
    </xf>
    <xf numFmtId="1" fontId="23" fillId="0" borderId="33" xfId="0" applyNumberFormat="1" applyFont="1" applyBorder="1" applyAlignment="1" applyProtection="1">
      <alignment horizontal="center" vertical="center"/>
      <protection locked="0" hidden="1"/>
    </xf>
    <xf numFmtId="0" fontId="11" fillId="3" borderId="5" xfId="0" applyFont="1" applyFill="1" applyBorder="1" applyAlignment="1" applyProtection="1">
      <alignment horizontal="center" vertical="center"/>
      <protection locked="0" hidden="1"/>
    </xf>
    <xf numFmtId="0" fontId="11" fillId="8" borderId="5" xfId="0" applyFont="1" applyFill="1" applyBorder="1" applyAlignment="1" applyProtection="1">
      <alignment horizontal="center" vertical="center"/>
      <protection hidden="1"/>
    </xf>
    <xf numFmtId="165" fontId="11" fillId="8" borderId="5" xfId="0" applyNumberFormat="1" applyFont="1" applyFill="1" applyBorder="1" applyAlignment="1" applyProtection="1">
      <alignment horizontal="center" vertical="center"/>
      <protection hidden="1"/>
    </xf>
    <xf numFmtId="1" fontId="11" fillId="8" borderId="33" xfId="0" applyNumberFormat="1" applyFont="1" applyFill="1" applyBorder="1" applyAlignment="1" applyProtection="1">
      <alignment horizontal="center" vertical="center"/>
      <protection hidden="1"/>
    </xf>
    <xf numFmtId="164" fontId="11" fillId="11" borderId="40" xfId="0" applyNumberFormat="1" applyFont="1" applyFill="1" applyBorder="1" applyAlignment="1" applyProtection="1">
      <alignment horizontal="center" vertical="center"/>
      <protection hidden="1"/>
    </xf>
    <xf numFmtId="1" fontId="11" fillId="3" borderId="5" xfId="0" applyNumberFormat="1" applyFont="1" applyFill="1" applyBorder="1" applyAlignment="1" applyProtection="1">
      <alignment horizontal="center" vertical="center"/>
      <protection locked="0" hidden="1"/>
    </xf>
    <xf numFmtId="165" fontId="2" fillId="0" borderId="0" xfId="0" applyNumberFormat="1" applyFont="1" applyBorder="1" applyAlignment="1" applyProtection="1">
      <alignment horizontal="center"/>
      <protection hidden="1"/>
    </xf>
    <xf numFmtId="0" fontId="2" fillId="11" borderId="32" xfId="0" applyFont="1" applyFill="1" applyBorder="1" applyAlignment="1" applyProtection="1">
      <alignment horizontal="center"/>
      <protection hidden="1"/>
    </xf>
    <xf numFmtId="0" fontId="14" fillId="11" borderId="5" xfId="0" applyFont="1" applyFill="1" applyBorder="1" applyProtection="1">
      <protection hidden="1"/>
    </xf>
    <xf numFmtId="164" fontId="14" fillId="11" borderId="5" xfId="0" applyNumberFormat="1" applyFont="1" applyFill="1" applyBorder="1" applyProtection="1">
      <protection hidden="1"/>
    </xf>
    <xf numFmtId="0" fontId="14" fillId="11" borderId="33" xfId="0" applyFont="1" applyFill="1" applyBorder="1" applyProtection="1">
      <protection hidden="1"/>
    </xf>
    <xf numFmtId="165" fontId="14" fillId="11" borderId="5" xfId="0" applyNumberFormat="1" applyFont="1" applyFill="1" applyBorder="1" applyProtection="1">
      <protection hidden="1"/>
    </xf>
    <xf numFmtId="167" fontId="11" fillId="3" borderId="5" xfId="0" applyNumberFormat="1" applyFont="1" applyFill="1" applyBorder="1" applyAlignment="1" applyProtection="1">
      <alignment horizontal="center" vertical="center"/>
      <protection locked="0" hidden="1"/>
    </xf>
    <xf numFmtId="164" fontId="2" fillId="0" borderId="0" xfId="0" applyNumberFormat="1" applyFont="1" applyBorder="1" applyAlignment="1" applyProtection="1">
      <alignment horizontal="center"/>
      <protection hidden="1"/>
    </xf>
    <xf numFmtId="2" fontId="24" fillId="3" borderId="5" xfId="0" applyNumberFormat="1" applyFont="1" applyFill="1" applyBorder="1" applyAlignment="1" applyProtection="1">
      <alignment vertical="top"/>
      <protection locked="0" hidden="1"/>
    </xf>
    <xf numFmtId="1" fontId="2" fillId="0" borderId="33" xfId="0" applyNumberFormat="1" applyFont="1" applyBorder="1" applyProtection="1">
      <protection locked="0" hidden="1"/>
    </xf>
    <xf numFmtId="1" fontId="11" fillId="4" borderId="5" xfId="0" applyNumberFormat="1" applyFont="1" applyFill="1" applyBorder="1" applyAlignment="1" applyProtection="1">
      <alignment horizontal="center" vertical="center"/>
      <protection hidden="1"/>
    </xf>
    <xf numFmtId="0" fontId="14" fillId="11" borderId="33" xfId="0" applyFont="1" applyFill="1" applyBorder="1" applyAlignment="1" applyProtection="1">
      <alignment vertical="top"/>
      <protection hidden="1"/>
    </xf>
    <xf numFmtId="0" fontId="1" fillId="8" borderId="45" xfId="0" applyFont="1" applyFill="1" applyBorder="1" applyAlignment="1" applyProtection="1">
      <alignment vertical="top"/>
      <protection hidden="1"/>
    </xf>
    <xf numFmtId="2" fontId="18" fillId="14" borderId="18" xfId="0" applyNumberFormat="1" applyFont="1" applyFill="1" applyBorder="1" applyAlignment="1" applyProtection="1">
      <alignment horizontal="center" vertical="top"/>
      <protection hidden="1"/>
    </xf>
    <xf numFmtId="1" fontId="25" fillId="8" borderId="18" xfId="0" applyNumberFormat="1" applyFont="1" applyFill="1" applyBorder="1" applyAlignment="1" applyProtection="1">
      <alignment horizontal="center" vertical="center"/>
      <protection hidden="1"/>
    </xf>
    <xf numFmtId="0" fontId="25" fillId="8" borderId="18" xfId="0" applyFont="1" applyFill="1" applyBorder="1" applyAlignment="1" applyProtection="1">
      <alignment vertical="center"/>
      <protection hidden="1"/>
    </xf>
    <xf numFmtId="0" fontId="25" fillId="8" borderId="18" xfId="0" applyFont="1" applyFill="1" applyBorder="1" applyAlignment="1" applyProtection="1">
      <alignment horizontal="center" vertical="center"/>
      <protection hidden="1"/>
    </xf>
    <xf numFmtId="2" fontId="11" fillId="3" borderId="43" xfId="0" applyNumberFormat="1" applyFont="1" applyFill="1" applyBorder="1" applyAlignment="1" applyProtection="1">
      <alignment horizontal="center" vertical="center"/>
      <protection hidden="1"/>
    </xf>
    <xf numFmtId="0" fontId="14" fillId="11" borderId="18" xfId="0" applyFont="1" applyFill="1" applyBorder="1" applyProtection="1">
      <protection hidden="1"/>
    </xf>
    <xf numFmtId="165" fontId="14" fillId="11" borderId="18" xfId="0" applyNumberFormat="1" applyFont="1" applyFill="1" applyBorder="1" applyProtection="1">
      <protection hidden="1"/>
    </xf>
    <xf numFmtId="0" fontId="14" fillId="11" borderId="43" xfId="0" applyFont="1" applyFill="1" applyBorder="1" applyAlignment="1" applyProtection="1">
      <alignment vertical="top"/>
      <protection hidden="1"/>
    </xf>
    <xf numFmtId="0" fontId="0" fillId="0" borderId="0" xfId="0" applyProtection="1">
      <protection hidden="1"/>
    </xf>
    <xf numFmtId="1" fontId="2" fillId="0" borderId="0" xfId="0" applyNumberFormat="1" applyFont="1" applyBorder="1" applyAlignment="1" applyProtection="1">
      <alignment horizontal="center"/>
      <protection hidden="1"/>
    </xf>
    <xf numFmtId="0" fontId="14" fillId="0" borderId="0" xfId="0" applyFont="1" applyFill="1" applyBorder="1" applyProtection="1">
      <protection hidden="1"/>
    </xf>
    <xf numFmtId="0" fontId="14" fillId="4" borderId="37" xfId="0" applyFont="1" applyFill="1" applyBorder="1" applyAlignment="1" applyProtection="1">
      <alignment horizontal="center"/>
      <protection hidden="1"/>
    </xf>
    <xf numFmtId="0" fontId="14" fillId="0" borderId="0" xfId="0" applyFont="1" applyBorder="1" applyProtection="1">
      <protection hidden="1"/>
    </xf>
    <xf numFmtId="1" fontId="14" fillId="15" borderId="43" xfId="0" applyNumberFormat="1" applyFont="1" applyFill="1" applyBorder="1" applyAlignment="1" applyProtection="1">
      <alignment horizontal="center"/>
      <protection hidden="1"/>
    </xf>
    <xf numFmtId="2" fontId="12" fillId="8" borderId="5" xfId="0" applyNumberFormat="1" applyFont="1" applyFill="1" applyBorder="1" applyAlignment="1" applyProtection="1">
      <alignment horizontal="left" vertical="center"/>
      <protection hidden="1"/>
    </xf>
    <xf numFmtId="164" fontId="5" fillId="9" borderId="5" xfId="0" applyNumberFormat="1" applyFont="1" applyFill="1" applyBorder="1" applyAlignment="1" applyProtection="1">
      <alignment vertical="center"/>
      <protection hidden="1"/>
    </xf>
    <xf numFmtId="2" fontId="5" fillId="11" borderId="5" xfId="0" applyNumberFormat="1" applyFont="1" applyFill="1" applyBorder="1" applyAlignment="1" applyProtection="1">
      <alignment horizontal="right" vertical="center" wrapText="1"/>
      <protection hidden="1"/>
    </xf>
    <xf numFmtId="2" fontId="5" fillId="11" borderId="5" xfId="0" applyNumberFormat="1" applyFont="1" applyFill="1" applyBorder="1" applyAlignment="1" applyProtection="1">
      <alignment horizontal="right" vertical="center"/>
      <protection hidden="1"/>
    </xf>
    <xf numFmtId="2" fontId="14" fillId="11" borderId="5" xfId="0" applyNumberFormat="1" applyFont="1" applyFill="1" applyBorder="1" applyAlignment="1" applyProtection="1">
      <alignment horizontal="right"/>
      <protection hidden="1"/>
    </xf>
    <xf numFmtId="1" fontId="5" fillId="11" borderId="5" xfId="0" applyNumberFormat="1" applyFont="1" applyFill="1" applyBorder="1" applyAlignment="1" applyProtection="1">
      <alignment horizontal="right" vertical="center"/>
      <protection hidden="1"/>
    </xf>
    <xf numFmtId="164" fontId="11" fillId="11" borderId="5" xfId="0" applyNumberFormat="1" applyFont="1" applyFill="1" applyBorder="1" applyAlignment="1" applyProtection="1">
      <alignment horizontal="right" vertical="center"/>
      <protection hidden="1"/>
    </xf>
    <xf numFmtId="2" fontId="5" fillId="8" borderId="5" xfId="0" applyNumberFormat="1" applyFont="1" applyFill="1" applyBorder="1" applyAlignment="1" applyProtection="1">
      <alignment vertical="center"/>
      <protection hidden="1"/>
    </xf>
    <xf numFmtId="165" fontId="10" fillId="8" borderId="33" xfId="0" applyNumberFormat="1" applyFont="1" applyFill="1" applyBorder="1" applyAlignment="1" applyProtection="1">
      <alignment horizontal="left" vertical="center"/>
      <protection locked="0" hidden="1"/>
    </xf>
    <xf numFmtId="165" fontId="5" fillId="8" borderId="33" xfId="0" applyNumberFormat="1" applyFont="1" applyFill="1" applyBorder="1" applyAlignment="1" applyProtection="1">
      <alignment horizontal="left" vertical="center"/>
      <protection locked="0" hidden="1"/>
    </xf>
    <xf numFmtId="165" fontId="5" fillId="8" borderId="39" xfId="0" applyNumberFormat="1" applyFont="1" applyFill="1" applyBorder="1" applyAlignment="1" applyProtection="1">
      <alignment horizontal="left" vertical="center"/>
      <protection locked="0" hidden="1"/>
    </xf>
    <xf numFmtId="2" fontId="5" fillId="8" borderId="41" xfId="0" applyNumberFormat="1" applyFont="1" applyFill="1" applyBorder="1" applyAlignment="1" applyProtection="1">
      <alignment horizontal="left" vertical="center"/>
      <protection locked="0" hidden="1"/>
    </xf>
    <xf numFmtId="166" fontId="11" fillId="12" borderId="33" xfId="0" applyNumberFormat="1" applyFont="1" applyFill="1" applyBorder="1" applyAlignment="1" applyProtection="1">
      <alignment horizontal="center" vertic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2" fontId="14" fillId="11" borderId="5" xfId="0" applyNumberFormat="1" applyFont="1" applyFill="1" applyBorder="1" applyProtection="1"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3" borderId="5" xfId="0" applyFont="1" applyFill="1" applyBorder="1" applyAlignment="1" applyProtection="1">
      <alignment horizontal="left"/>
      <protection locked="0" hidden="1"/>
    </xf>
    <xf numFmtId="0" fontId="14" fillId="3" borderId="34" xfId="0" applyFont="1" applyFill="1" applyBorder="1" applyAlignment="1" applyProtection="1">
      <alignment horizontal="left"/>
      <protection locked="0" hidden="1"/>
    </xf>
    <xf numFmtId="0" fontId="5" fillId="0" borderId="32" xfId="0" applyFont="1" applyBorder="1" applyAlignment="1" applyProtection="1">
      <alignment horizontal="left" vertical="center"/>
      <protection hidden="1"/>
    </xf>
    <xf numFmtId="0" fontId="5" fillId="0" borderId="5" xfId="0" applyFont="1" applyBorder="1" applyAlignment="1" applyProtection="1">
      <alignment horizontal="left" vertical="center"/>
      <protection hidden="1"/>
    </xf>
    <xf numFmtId="0" fontId="5" fillId="0" borderId="47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center" vertical="center"/>
      <protection hidden="1"/>
    </xf>
    <xf numFmtId="0" fontId="26" fillId="4" borderId="0" xfId="0" applyFont="1" applyFill="1" applyBorder="1" applyAlignment="1" applyProtection="1">
      <alignment horizontal="left"/>
      <protection hidden="1"/>
    </xf>
    <xf numFmtId="0" fontId="26" fillId="4" borderId="19" xfId="0" applyFont="1" applyFill="1" applyBorder="1" applyAlignment="1" applyProtection="1">
      <alignment horizontal="left"/>
      <protection hidden="1"/>
    </xf>
    <xf numFmtId="0" fontId="14" fillId="4" borderId="46" xfId="0" applyFont="1" applyFill="1" applyBorder="1" applyAlignment="1" applyProtection="1">
      <alignment horizontal="center"/>
      <protection hidden="1"/>
    </xf>
    <xf numFmtId="0" fontId="14" fillId="4" borderId="48" xfId="0" applyFont="1" applyFill="1" applyBorder="1" applyAlignment="1" applyProtection="1">
      <alignment horizontal="center"/>
      <protection hidden="1"/>
    </xf>
    <xf numFmtId="0" fontId="14" fillId="3" borderId="49" xfId="0" applyFont="1" applyFill="1" applyBorder="1" applyAlignment="1" applyProtection="1">
      <alignment horizontal="center"/>
      <protection locked="0" hidden="1"/>
    </xf>
    <xf numFmtId="0" fontId="14" fillId="3" borderId="50" xfId="0" applyFont="1" applyFill="1" applyBorder="1" applyAlignment="1" applyProtection="1">
      <alignment horizontal="center"/>
      <protection locked="0" hidden="1"/>
    </xf>
    <xf numFmtId="0" fontId="14" fillId="3" borderId="51" xfId="0" applyFont="1" applyFill="1" applyBorder="1" applyAlignment="1" applyProtection="1">
      <alignment horizontal="center"/>
      <protection locked="0" hidden="1"/>
    </xf>
    <xf numFmtId="0" fontId="14" fillId="3" borderId="19" xfId="0" applyFont="1" applyFill="1" applyBorder="1" applyAlignment="1" applyProtection="1">
      <alignment horizontal="center"/>
      <protection locked="0" hidden="1"/>
    </xf>
    <xf numFmtId="0" fontId="14" fillId="3" borderId="52" xfId="0" applyFont="1" applyFill="1" applyBorder="1" applyAlignment="1" applyProtection="1">
      <alignment horizontal="center"/>
      <protection locked="0" hidden="1"/>
    </xf>
    <xf numFmtId="0" fontId="14" fillId="3" borderId="53" xfId="0" applyFont="1" applyFill="1" applyBorder="1" applyAlignment="1" applyProtection="1">
      <alignment horizontal="center"/>
      <protection locked="0" hidden="1"/>
    </xf>
    <xf numFmtId="0" fontId="3" fillId="11" borderId="42" xfId="0" applyFont="1" applyFill="1" applyBorder="1" applyAlignment="1" applyProtection="1">
      <alignment horizontal="center" vertical="top"/>
      <protection hidden="1"/>
    </xf>
    <xf numFmtId="0" fontId="3" fillId="11" borderId="10" xfId="0" applyFont="1" applyFill="1" applyBorder="1" applyAlignment="1" applyProtection="1">
      <alignment horizontal="center" vertical="top"/>
      <protection hidden="1"/>
    </xf>
    <xf numFmtId="0" fontId="3" fillId="11" borderId="41" xfId="0" applyFont="1" applyFill="1" applyBorder="1" applyAlignment="1" applyProtection="1">
      <alignment horizontal="center" vertical="top"/>
      <protection hidden="1"/>
    </xf>
    <xf numFmtId="0" fontId="5" fillId="11" borderId="34" xfId="0" applyFont="1" applyFill="1" applyBorder="1" applyAlignment="1" applyProtection="1">
      <alignment horizontal="left" vertical="center"/>
      <protection hidden="1"/>
    </xf>
    <xf numFmtId="0" fontId="5" fillId="11" borderId="36" xfId="0" applyFont="1" applyFill="1" applyBorder="1" applyAlignment="1" applyProtection="1">
      <alignment horizontal="left" vertical="center"/>
      <protection hidden="1"/>
    </xf>
    <xf numFmtId="0" fontId="5" fillId="11" borderId="35" xfId="0" applyFont="1" applyFill="1" applyBorder="1" applyAlignment="1" applyProtection="1">
      <alignment horizontal="left" vertical="center"/>
      <protection hidden="1"/>
    </xf>
    <xf numFmtId="164" fontId="11" fillId="11" borderId="5" xfId="0" applyNumberFormat="1" applyFont="1" applyFill="1" applyBorder="1" applyAlignment="1" applyProtection="1">
      <alignment vertical="center" wrapText="1"/>
      <protection hidden="1"/>
    </xf>
    <xf numFmtId="0" fontId="16" fillId="2" borderId="6" xfId="0" applyFont="1" applyFill="1" applyBorder="1" applyAlignment="1" applyProtection="1">
      <alignment horizontal="center" vertical="center"/>
      <protection hidden="1"/>
    </xf>
    <xf numFmtId="0" fontId="16" fillId="2" borderId="22" xfId="0" applyFont="1" applyFill="1" applyBorder="1" applyAlignment="1" applyProtection="1">
      <alignment horizontal="center" vertical="center"/>
      <protection hidden="1"/>
    </xf>
    <xf numFmtId="165" fontId="21" fillId="0" borderId="46" xfId="0" applyNumberFormat="1" applyFont="1" applyBorder="1" applyAlignment="1" applyProtection="1">
      <alignment horizontal="left" vertical="center" wrapText="1"/>
      <protection hidden="1"/>
    </xf>
    <xf numFmtId="165" fontId="21" fillId="0" borderId="9" xfId="0" applyNumberFormat="1" applyFont="1" applyBorder="1" applyAlignment="1" applyProtection="1">
      <alignment horizontal="left" vertical="center" wrapText="1"/>
      <protection hidden="1"/>
    </xf>
    <xf numFmtId="0" fontId="11" fillId="11" borderId="40" xfId="0" applyFont="1" applyFill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horizontal="right" vertical="center"/>
      <protection hidden="1"/>
    </xf>
    <xf numFmtId="0" fontId="3" fillId="0" borderId="21" xfId="0" applyFont="1" applyBorder="1" applyAlignment="1" applyProtection="1">
      <alignment horizontal="right" vertical="center"/>
      <protection hidden="1"/>
    </xf>
    <xf numFmtId="0" fontId="3" fillId="0" borderId="30" xfId="0" applyFont="1" applyBorder="1" applyAlignment="1" applyProtection="1">
      <alignment horizontal="right" vertical="center"/>
      <protection hidden="1"/>
    </xf>
    <xf numFmtId="0" fontId="3" fillId="0" borderId="31" xfId="0" applyFont="1" applyBorder="1" applyAlignment="1" applyProtection="1">
      <alignment horizontal="right" vertical="center"/>
      <protection hidden="1"/>
    </xf>
    <xf numFmtId="164" fontId="5" fillId="9" borderId="5" xfId="0" applyNumberFormat="1" applyFont="1" applyFill="1" applyBorder="1" applyAlignment="1" applyProtection="1">
      <alignment horizontal="right" vertical="center"/>
      <protection hidden="1"/>
    </xf>
    <xf numFmtId="0" fontId="5" fillId="8" borderId="5" xfId="0" applyFont="1" applyFill="1" applyBorder="1" applyAlignment="1" applyProtection="1">
      <alignment horizontal="left" vertical="center"/>
      <protection hidden="1"/>
    </xf>
    <xf numFmtId="164" fontId="13" fillId="10" borderId="5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6" fillId="2" borderId="6" xfId="0" applyFont="1" applyFill="1" applyBorder="1" applyAlignment="1" applyProtection="1">
      <alignment horizontal="center" vertical="center"/>
      <protection hidden="1"/>
    </xf>
    <xf numFmtId="0" fontId="6" fillId="2" borderId="14" xfId="0" applyFont="1" applyFill="1" applyBorder="1" applyAlignment="1" applyProtection="1">
      <alignment horizontal="center" vertical="center"/>
      <protection hidden="1"/>
    </xf>
    <xf numFmtId="0" fontId="6" fillId="2" borderId="22" xfId="0" applyFont="1" applyFill="1" applyBorder="1" applyAlignment="1" applyProtection="1">
      <alignment horizontal="center" vertical="center"/>
      <protection hidden="1"/>
    </xf>
    <xf numFmtId="0" fontId="6" fillId="2" borderId="7" xfId="0" applyFont="1" applyFill="1" applyBorder="1" applyAlignment="1" applyProtection="1">
      <alignment horizontal="center" vertical="center" wrapText="1"/>
      <protection hidden="1"/>
    </xf>
    <xf numFmtId="0" fontId="6" fillId="2" borderId="15" xfId="0" applyFont="1" applyFill="1" applyBorder="1" applyAlignment="1" applyProtection="1">
      <alignment horizontal="center" vertical="center" wrapText="1"/>
      <protection hidden="1"/>
    </xf>
    <xf numFmtId="0" fontId="6" fillId="2" borderId="23" xfId="0" applyFont="1" applyFill="1" applyBorder="1" applyAlignment="1" applyProtection="1">
      <alignment horizontal="center" vertical="center" wrapText="1"/>
      <protection hidden="1"/>
    </xf>
    <xf numFmtId="0" fontId="6" fillId="2" borderId="7" xfId="0" applyFont="1" applyFill="1" applyBorder="1" applyAlignment="1" applyProtection="1">
      <alignment horizontal="center" vertical="top" wrapText="1"/>
      <protection hidden="1"/>
    </xf>
    <xf numFmtId="0" fontId="6" fillId="2" borderId="15" xfId="0" applyFont="1" applyFill="1" applyBorder="1" applyAlignment="1" applyProtection="1">
      <alignment horizontal="center" vertical="top" wrapText="1"/>
      <protection hidden="1"/>
    </xf>
    <xf numFmtId="0" fontId="6" fillId="2" borderId="23" xfId="0" applyFont="1" applyFill="1" applyBorder="1" applyAlignment="1" applyProtection="1">
      <alignment horizontal="center" vertical="top" wrapText="1"/>
      <protection hidden="1"/>
    </xf>
    <xf numFmtId="0" fontId="6" fillId="2" borderId="6" xfId="0" applyFont="1" applyFill="1" applyBorder="1" applyAlignment="1" applyProtection="1">
      <alignment horizontal="center" vertical="top" wrapText="1"/>
      <protection hidden="1"/>
    </xf>
    <xf numFmtId="0" fontId="6" fillId="2" borderId="14" xfId="0" applyFont="1" applyFill="1" applyBorder="1" applyAlignment="1" applyProtection="1">
      <alignment horizontal="center" vertical="top" wrapText="1"/>
      <protection hidden="1"/>
    </xf>
    <xf numFmtId="0" fontId="6" fillId="2" borderId="22" xfId="0" applyFont="1" applyFill="1" applyBorder="1" applyAlignment="1" applyProtection="1">
      <alignment horizontal="center" vertical="top" wrapText="1"/>
      <protection hidden="1"/>
    </xf>
    <xf numFmtId="0" fontId="6" fillId="2" borderId="8" xfId="0" applyFont="1" applyFill="1" applyBorder="1" applyAlignment="1" applyProtection="1">
      <alignment horizontal="center" vertical="top" wrapText="1"/>
      <protection hidden="1"/>
    </xf>
    <xf numFmtId="0" fontId="6" fillId="2" borderId="16" xfId="0" applyFont="1" applyFill="1" applyBorder="1" applyAlignment="1" applyProtection="1">
      <alignment horizontal="center" vertical="top" wrapText="1"/>
      <protection hidden="1"/>
    </xf>
    <xf numFmtId="0" fontId="6" fillId="2" borderId="24" xfId="0" applyFont="1" applyFill="1" applyBorder="1" applyAlignment="1" applyProtection="1">
      <alignment horizontal="center" vertical="top" wrapText="1"/>
      <protection hidden="1"/>
    </xf>
    <xf numFmtId="0" fontId="6" fillId="2" borderId="9" xfId="0" applyFont="1" applyFill="1" applyBorder="1" applyAlignment="1" applyProtection="1">
      <alignment horizontal="center" vertical="top" wrapText="1"/>
      <protection hidden="1"/>
    </xf>
    <xf numFmtId="0" fontId="6" fillId="2" borderId="10" xfId="0" applyFont="1" applyFill="1" applyBorder="1" applyAlignment="1" applyProtection="1">
      <alignment horizontal="center" vertical="top" wrapText="1"/>
      <protection hidden="1"/>
    </xf>
    <xf numFmtId="0" fontId="6" fillId="2" borderId="17" xfId="0" applyFont="1" applyFill="1" applyBorder="1" applyAlignment="1" applyProtection="1">
      <alignment horizontal="center" vertical="top" wrapText="1"/>
      <protection hidden="1"/>
    </xf>
    <xf numFmtId="0" fontId="6" fillId="2" borderId="18" xfId="0" applyFont="1" applyFill="1" applyBorder="1" applyAlignment="1" applyProtection="1">
      <alignment horizontal="center" vertical="top" wrapText="1"/>
      <protection hidden="1"/>
    </xf>
    <xf numFmtId="0" fontId="6" fillId="2" borderId="11" xfId="0" applyFont="1" applyFill="1" applyBorder="1" applyAlignment="1" applyProtection="1">
      <alignment horizontal="center" vertical="top" wrapText="1"/>
      <protection hidden="1"/>
    </xf>
    <xf numFmtId="0" fontId="6" fillId="2" borderId="12" xfId="0" applyFont="1" applyFill="1" applyBorder="1" applyAlignment="1" applyProtection="1">
      <alignment horizontal="center" vertical="top" wrapText="1"/>
      <protection hidden="1"/>
    </xf>
    <xf numFmtId="0" fontId="6" fillId="2" borderId="13" xfId="0" applyFont="1" applyFill="1" applyBorder="1" applyAlignment="1" applyProtection="1">
      <alignment horizontal="center" vertical="top" wrapText="1"/>
      <protection hidden="1"/>
    </xf>
    <xf numFmtId="0" fontId="6" fillId="2" borderId="1" xfId="0" applyFont="1" applyFill="1" applyBorder="1" applyAlignment="1" applyProtection="1">
      <alignment horizontal="center" vertical="top" wrapText="1"/>
      <protection hidden="1"/>
    </xf>
    <xf numFmtId="0" fontId="6" fillId="2" borderId="0" xfId="0" applyFont="1" applyFill="1" applyBorder="1" applyAlignment="1" applyProtection="1">
      <alignment horizontal="center" vertical="top" wrapText="1"/>
      <protection hidden="1"/>
    </xf>
    <xf numFmtId="0" fontId="6" fillId="2" borderId="19" xfId="0" applyFont="1" applyFill="1" applyBorder="1" applyAlignment="1" applyProtection="1">
      <alignment horizontal="center" vertical="top" wrapText="1"/>
      <protection hidden="1"/>
    </xf>
    <xf numFmtId="0" fontId="6" fillId="2" borderId="27" xfId="0" applyFont="1" applyFill="1" applyBorder="1" applyAlignment="1" applyProtection="1">
      <alignment horizontal="center" vertical="top" wrapText="1"/>
      <protection hidden="1"/>
    </xf>
    <xf numFmtId="0" fontId="6" fillId="2" borderId="28" xfId="0" applyFont="1" applyFill="1" applyBorder="1" applyAlignment="1" applyProtection="1">
      <alignment horizontal="center" vertical="top" wrapText="1"/>
      <protection hidden="1"/>
    </xf>
    <xf numFmtId="0" fontId="6" fillId="2" borderId="29" xfId="0" applyFont="1" applyFill="1" applyBorder="1" applyAlignment="1" applyProtection="1">
      <alignment horizontal="center" vertical="top" wrapText="1"/>
      <protection hidden="1"/>
    </xf>
    <xf numFmtId="14" fontId="3" fillId="4" borderId="5" xfId="0" applyNumberFormat="1" applyFont="1" applyFill="1" applyBorder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7"/>
  <sheetViews>
    <sheetView tabSelected="1" topLeftCell="A4" zoomScale="64" zoomScaleNormal="64" workbookViewId="0">
      <selection activeCell="N4" sqref="N4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114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391.23200000000003</v>
      </c>
      <c r="D6" s="17">
        <v>18</v>
      </c>
      <c r="E6" s="18">
        <f>C6+D6</f>
        <v>409.23200000000003</v>
      </c>
      <c r="F6" s="19"/>
      <c r="G6" s="20"/>
      <c r="H6" s="21"/>
      <c r="I6" s="21"/>
      <c r="J6" s="22">
        <f>E6-F6-G6</f>
        <v>409.23200000000003</v>
      </c>
      <c r="L6" s="173" t="s">
        <v>36</v>
      </c>
      <c r="M6" s="173"/>
      <c r="N6" s="23">
        <f>D6</f>
        <v>18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>
      <c r="A7" s="15" t="s">
        <v>37</v>
      </c>
      <c r="B7" s="16" t="s">
        <v>25</v>
      </c>
      <c r="C7" s="122">
        <v>192</v>
      </c>
      <c r="D7" s="17"/>
      <c r="E7" s="18">
        <f>C7+D7</f>
        <v>192</v>
      </c>
      <c r="F7" s="19"/>
      <c r="G7" s="20"/>
      <c r="H7" s="21"/>
      <c r="I7" s="25"/>
      <c r="J7" s="22">
        <f>E7-F7-G7</f>
        <v>192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/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54.37</v>
      </c>
      <c r="D9" s="17"/>
      <c r="E9" s="18">
        <f t="shared" ref="E9:E18" si="1">C9+D9</f>
        <v>54.37</v>
      </c>
      <c r="F9" s="19"/>
      <c r="G9" s="20"/>
      <c r="H9" s="21"/>
      <c r="I9" s="21"/>
      <c r="J9" s="22">
        <f t="shared" si="0"/>
        <v>54.37</v>
      </c>
      <c r="L9" s="174" t="s">
        <v>42</v>
      </c>
      <c r="M9" s="174"/>
      <c r="N9" s="27">
        <f>J6</f>
        <v>409.23200000000003</v>
      </c>
      <c r="O9" s="28">
        <f>J7</f>
        <v>192</v>
      </c>
      <c r="P9" s="114">
        <f>J8</f>
        <v>138.5</v>
      </c>
      <c r="Q9" s="27">
        <f>J9</f>
        <v>54.37</v>
      </c>
      <c r="R9" s="27">
        <f>J10</f>
        <v>152.44999999999999</v>
      </c>
      <c r="S9" s="30">
        <f>J11</f>
        <v>107.009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1076.4959999999999</v>
      </c>
    </row>
    <row r="10" spans="1:27" ht="21">
      <c r="A10" s="15" t="s">
        <v>43</v>
      </c>
      <c r="B10" s="16" t="s">
        <v>28</v>
      </c>
      <c r="C10" s="122">
        <v>152.44999999999999</v>
      </c>
      <c r="D10" s="17"/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107.009</v>
      </c>
      <c r="D11" s="17"/>
      <c r="E11" s="18">
        <f>C11+D11</f>
        <v>107.009</v>
      </c>
      <c r="F11" s="19"/>
      <c r="G11" s="20"/>
      <c r="H11" s="21"/>
      <c r="I11" s="21"/>
      <c r="J11" s="22">
        <f>E11-F11-G11</f>
        <v>107.009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6.84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6.84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1.3499999999999999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1.3499999999999999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23.400000000000002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23.400000000000002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317.45100000000144</v>
      </c>
      <c r="D19" s="51">
        <v>23.7</v>
      </c>
      <c r="E19" s="52">
        <f>C19+D19</f>
        <v>341.15100000000143</v>
      </c>
      <c r="F19" s="53">
        <f>J29</f>
        <v>27.500000000000004</v>
      </c>
      <c r="G19" s="54"/>
      <c r="H19" s="55">
        <v>0</v>
      </c>
      <c r="I19" s="56"/>
      <c r="J19" s="57">
        <f>E19-F19-G19</f>
        <v>313.65100000000143</v>
      </c>
      <c r="L19" s="58" t="s">
        <v>61</v>
      </c>
      <c r="M19" s="58"/>
      <c r="N19" s="31">
        <f>N6*4</f>
        <v>72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145.65100000000143</v>
      </c>
      <c r="L21" s="58" t="s">
        <v>69</v>
      </c>
      <c r="M21" s="58"/>
      <c r="N21" s="31">
        <f>N6*3</f>
        <v>54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54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69</v>
      </c>
      <c r="H22" s="82">
        <f>G22*6</f>
        <v>414</v>
      </c>
      <c r="I22" s="83">
        <f>H22*0.115</f>
        <v>47.61</v>
      </c>
      <c r="J22" s="84">
        <f>I22*1.16</f>
        <v>55.227599999999995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192</v>
      </c>
      <c r="C23" s="79">
        <v>179</v>
      </c>
      <c r="D23" s="80">
        <v>2.5</v>
      </c>
      <c r="E23" s="143" t="s">
        <v>74</v>
      </c>
      <c r="F23" s="144"/>
      <c r="G23" s="81">
        <v>40</v>
      </c>
      <c r="H23" s="82">
        <f>G23*6</f>
        <v>240</v>
      </c>
      <c r="I23" s="83">
        <f>H23*0.115</f>
        <v>27.6</v>
      </c>
      <c r="J23" s="84">
        <f>I23*1.16</f>
        <v>32.015999999999998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409.23200000000003</v>
      </c>
      <c r="C24" s="79">
        <v>305</v>
      </c>
      <c r="D24" s="80">
        <v>20</v>
      </c>
      <c r="E24" s="143" t="s">
        <v>77</v>
      </c>
      <c r="F24" s="144"/>
      <c r="G24" s="86">
        <v>30</v>
      </c>
      <c r="H24" s="82">
        <f>G24*6</f>
        <v>180</v>
      </c>
      <c r="I24" s="83">
        <f>H24*0.115</f>
        <v>20.7</v>
      </c>
      <c r="J24" s="84">
        <f>I24*1.16</f>
        <v>24.011999999999997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>
      <c r="A25" s="77" t="s">
        <v>80</v>
      </c>
      <c r="B25" s="78">
        <f>S9</f>
        <v>107.009</v>
      </c>
      <c r="C25" s="79">
        <v>65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152.44999999999999</v>
      </c>
      <c r="C26" s="79">
        <v>12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1076.4959999999999</v>
      </c>
      <c r="O26" s="91" t="s">
        <v>79</v>
      </c>
    </row>
    <row r="27" spans="1:24" ht="21" customHeight="1">
      <c r="A27" s="77" t="s">
        <v>86</v>
      </c>
      <c r="B27" s="78">
        <f>Q9</f>
        <v>54.37</v>
      </c>
      <c r="C27" s="79">
        <v>15</v>
      </c>
      <c r="D27" s="80">
        <v>24</v>
      </c>
      <c r="E27" s="143" t="s">
        <v>87</v>
      </c>
      <c r="F27" s="144"/>
      <c r="G27" s="93"/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676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50</v>
      </c>
      <c r="J28" s="126">
        <f>(G28*0.55)</f>
        <v>27.500000000000004</v>
      </c>
      <c r="L28" s="88">
        <v>5</v>
      </c>
      <c r="M28" s="89" t="s">
        <v>92</v>
      </c>
      <c r="N28" s="92">
        <f>D19</f>
        <v>23.7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50</v>
      </c>
      <c r="H29" s="82">
        <f>G29*6</f>
        <v>300</v>
      </c>
      <c r="I29" s="83"/>
      <c r="J29" s="126">
        <f>SUM(J27:J28)</f>
        <v>27.500000000000004</v>
      </c>
      <c r="L29" s="88">
        <v>6</v>
      </c>
      <c r="M29" s="89" t="s">
        <v>95</v>
      </c>
      <c r="N29" s="92">
        <f>N28*0.325</f>
        <v>7.7024999999999997</v>
      </c>
      <c r="O29" s="98" t="s">
        <v>79</v>
      </c>
    </row>
    <row r="30" spans="1:24" ht="21.75" thickBot="1">
      <c r="A30" s="99" t="s">
        <v>96</v>
      </c>
      <c r="B30" s="100">
        <f>SUM(B22:B29)</f>
        <v>1076.4959999999999</v>
      </c>
      <c r="C30" s="100">
        <f>SUM(C22:C29)</f>
        <v>676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4.5999999985610884E-3</v>
      </c>
      <c r="K30" s="87"/>
      <c r="L30" s="88">
        <v>7</v>
      </c>
      <c r="M30" s="105" t="s">
        <v>98</v>
      </c>
      <c r="N30" s="106">
        <f>J29</f>
        <v>27.500000000000004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40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>
        <f>1020-989</f>
        <v>31</v>
      </c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N32:O32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37"/>
  <sheetViews>
    <sheetView topLeftCell="C1" zoomScale="64" zoomScaleNormal="64" workbookViewId="0">
      <selection activeCell="P21" sqref="P21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106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301.73199999999997</v>
      </c>
      <c r="D6" s="17">
        <v>0</v>
      </c>
      <c r="E6" s="18">
        <f>C6+D6</f>
        <v>301.73199999999997</v>
      </c>
      <c r="F6" s="19">
        <v>15</v>
      </c>
      <c r="G6" s="20"/>
      <c r="H6" s="21"/>
      <c r="I6" s="21"/>
      <c r="J6" s="22">
        <f>E6-F6-G6</f>
        <v>286.73199999999997</v>
      </c>
      <c r="L6" s="173" t="s">
        <v>36</v>
      </c>
      <c r="M6" s="173"/>
      <c r="N6" s="23">
        <f>D6</f>
        <v>0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18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>
      <c r="A7" s="15" t="s">
        <v>37</v>
      </c>
      <c r="B7" s="16" t="s">
        <v>25</v>
      </c>
      <c r="C7" s="122">
        <v>144.5</v>
      </c>
      <c r="D7" s="17">
        <v>10</v>
      </c>
      <c r="E7" s="18">
        <f>C7+D7</f>
        <v>154.5</v>
      </c>
      <c r="F7" s="19">
        <v>7.5</v>
      </c>
      <c r="G7" s="20"/>
      <c r="H7" s="21"/>
      <c r="I7" s="25"/>
      <c r="J7" s="22">
        <f>E7-F7-G7</f>
        <v>147</v>
      </c>
      <c r="L7" s="173" t="s">
        <v>38</v>
      </c>
      <c r="M7" s="173"/>
      <c r="N7" s="23">
        <f>F6</f>
        <v>15</v>
      </c>
      <c r="O7" s="23">
        <f>F7</f>
        <v>7.5</v>
      </c>
      <c r="P7" s="23">
        <f>F8</f>
        <v>0</v>
      </c>
      <c r="Q7" s="23">
        <f>F9</f>
        <v>0</v>
      </c>
      <c r="R7" s="23">
        <f>F10</f>
        <v>4.5</v>
      </c>
      <c r="S7" s="23">
        <f>F11</f>
        <v>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32</v>
      </c>
    </row>
    <row r="8" spans="1:27" ht="21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286.73199999999997</v>
      </c>
      <c r="O9" s="28">
        <f>J7</f>
        <v>147</v>
      </c>
      <c r="P9" s="114">
        <f>J8</f>
        <v>113.5</v>
      </c>
      <c r="Q9" s="27">
        <f>J9</f>
        <v>53.120000000000005</v>
      </c>
      <c r="R9" s="27">
        <f>J10</f>
        <v>167.45</v>
      </c>
      <c r="S9" s="30">
        <f>J11</f>
        <v>117.509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908.24599999999987</v>
      </c>
    </row>
    <row r="10" spans="1:27" ht="21">
      <c r="A10" s="15" t="s">
        <v>43</v>
      </c>
      <c r="B10" s="16" t="s">
        <v>28</v>
      </c>
      <c r="C10" s="122">
        <v>163.95</v>
      </c>
      <c r="D10" s="17">
        <v>8</v>
      </c>
      <c r="E10" s="18">
        <f>C10+D10</f>
        <v>171.95</v>
      </c>
      <c r="F10" s="19">
        <v>4.5</v>
      </c>
      <c r="G10" s="20"/>
      <c r="H10" s="21"/>
      <c r="I10" s="21"/>
      <c r="J10" s="22">
        <f t="shared" si="0"/>
        <v>167.45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104.509</v>
      </c>
      <c r="D11" s="17">
        <v>18</v>
      </c>
      <c r="E11" s="18">
        <f>C11+D11</f>
        <v>122.509</v>
      </c>
      <c r="F11" s="19">
        <v>5</v>
      </c>
      <c r="G11" s="20"/>
      <c r="H11" s="21"/>
      <c r="I11" s="21"/>
      <c r="J11" s="22">
        <f>E11-F11-G11</f>
        <v>117.509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0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7.83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15.14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1.3499999999999999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0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22.5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45.2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347.4510000000015</v>
      </c>
      <c r="D19" s="51">
        <v>58.03</v>
      </c>
      <c r="E19" s="52">
        <f>C19+D19</f>
        <v>405.48100000000147</v>
      </c>
      <c r="F19" s="53">
        <f>J29</f>
        <v>57.750000000000007</v>
      </c>
      <c r="G19" s="54"/>
      <c r="H19" s="55">
        <v>0</v>
      </c>
      <c r="I19" s="56"/>
      <c r="J19" s="57">
        <f>E19-F19-G19</f>
        <v>347.73100000000147</v>
      </c>
      <c r="L19" s="58" t="s">
        <v>61</v>
      </c>
      <c r="M19" s="58"/>
      <c r="N19" s="31">
        <f>N6*4</f>
        <v>0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72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179.73100000000147</v>
      </c>
      <c r="L21" s="58" t="s">
        <v>69</v>
      </c>
      <c r="M21" s="58"/>
      <c r="N21" s="31">
        <f>N6*3</f>
        <v>0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39.6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79.2</v>
      </c>
    </row>
    <row r="22" spans="1:24" ht="21" customHeight="1" thickBot="1">
      <c r="A22" s="77" t="s">
        <v>70</v>
      </c>
      <c r="B22" s="78">
        <f>P9</f>
        <v>113.5</v>
      </c>
      <c r="C22" s="79">
        <v>100</v>
      </c>
      <c r="D22" s="80"/>
      <c r="E22" s="143" t="s">
        <v>71</v>
      </c>
      <c r="F22" s="144"/>
      <c r="G22" s="81">
        <v>34</v>
      </c>
      <c r="H22" s="82">
        <f>G22*6</f>
        <v>204</v>
      </c>
      <c r="I22" s="83">
        <f>H22*0.115</f>
        <v>23.46</v>
      </c>
      <c r="J22" s="84">
        <f>I22*1.16</f>
        <v>27.2136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147</v>
      </c>
      <c r="C23" s="79">
        <v>110</v>
      </c>
      <c r="D23" s="80">
        <v>2.5</v>
      </c>
      <c r="E23" s="143" t="s">
        <v>74</v>
      </c>
      <c r="F23" s="144"/>
      <c r="G23" s="81">
        <v>62</v>
      </c>
      <c r="H23" s="82">
        <f>G23*6</f>
        <v>372</v>
      </c>
      <c r="I23" s="83">
        <f>H23*0.115</f>
        <v>42.78</v>
      </c>
      <c r="J23" s="84">
        <f>I23*1.16</f>
        <v>49.6248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286.73199999999997</v>
      </c>
      <c r="C24" s="79">
        <v>240</v>
      </c>
      <c r="D24" s="80">
        <v>20</v>
      </c>
      <c r="E24" s="143" t="s">
        <v>77</v>
      </c>
      <c r="F24" s="144"/>
      <c r="G24" s="86">
        <v>37</v>
      </c>
      <c r="H24" s="82">
        <f>G24*6</f>
        <v>222</v>
      </c>
      <c r="I24" s="83">
        <f>H24*0.115</f>
        <v>25.53</v>
      </c>
      <c r="J24" s="84">
        <f>I24*1.16</f>
        <v>29.614799999999999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>
      <c r="A25" s="77" t="s">
        <v>80</v>
      </c>
      <c r="B25" s="78">
        <f>S9</f>
        <v>117.509</v>
      </c>
      <c r="C25" s="79">
        <v>68</v>
      </c>
      <c r="D25" s="80">
        <v>45</v>
      </c>
      <c r="E25" s="143" t="s">
        <v>81</v>
      </c>
      <c r="F25" s="144"/>
      <c r="G25" s="81">
        <v>70</v>
      </c>
      <c r="I25" s="83"/>
      <c r="J25" s="84">
        <f>G25*0.15*1.15</f>
        <v>12.074999999999999</v>
      </c>
      <c r="K25" s="87"/>
      <c r="L25" s="88">
        <v>2</v>
      </c>
      <c r="M25" s="89" t="s">
        <v>82</v>
      </c>
      <c r="N25" s="92">
        <f>X7+X8</f>
        <v>32</v>
      </c>
      <c r="O25" s="91" t="s">
        <v>79</v>
      </c>
    </row>
    <row r="26" spans="1:24" ht="21" customHeight="1">
      <c r="A26" s="77" t="s">
        <v>83</v>
      </c>
      <c r="B26" s="78">
        <f>R9</f>
        <v>167.45</v>
      </c>
      <c r="C26" s="79">
        <v>98</v>
      </c>
      <c r="D26" s="80">
        <v>58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908.24599999999987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636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105</v>
      </c>
      <c r="J28" s="126">
        <f>(G28*0.55)</f>
        <v>57.750000000000007</v>
      </c>
      <c r="L28" s="88">
        <v>5</v>
      </c>
      <c r="M28" s="89" t="s">
        <v>92</v>
      </c>
      <c r="N28" s="92">
        <f>D19</f>
        <v>58.03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105</v>
      </c>
      <c r="H29" s="82">
        <f>G29*6</f>
        <v>630</v>
      </c>
      <c r="I29" s="83"/>
      <c r="J29" s="126">
        <f>SUM(J27:J28)</f>
        <v>57.750000000000007</v>
      </c>
      <c r="L29" s="88">
        <v>6</v>
      </c>
      <c r="M29" s="89" t="s">
        <v>95</v>
      </c>
      <c r="N29" s="92">
        <f>N28*0.325</f>
        <v>18.859750000000002</v>
      </c>
      <c r="O29" s="98" t="s">
        <v>79</v>
      </c>
    </row>
    <row r="30" spans="1:24" ht="21.75" thickBot="1">
      <c r="A30" s="99" t="s">
        <v>96</v>
      </c>
      <c r="B30" s="100">
        <f>SUM(B22:B29)</f>
        <v>908.24599999999998</v>
      </c>
      <c r="C30" s="100">
        <f>SUM(C22:C29)</f>
        <v>636</v>
      </c>
      <c r="D30" s="113">
        <f>SUM(D23:D29)</f>
        <v>164.75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-2.8000000014571924E-3</v>
      </c>
      <c r="K30" s="87"/>
      <c r="L30" s="88">
        <v>7</v>
      </c>
      <c r="M30" s="105" t="s">
        <v>98</v>
      </c>
      <c r="N30" s="106">
        <f>J29</f>
        <v>57.750000000000007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30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37"/>
  <sheetViews>
    <sheetView topLeftCell="A9" zoomScale="64" zoomScaleNormal="64" workbookViewId="0">
      <selection activeCell="S28" sqref="S28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105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292.73199999999997</v>
      </c>
      <c r="D6" s="17">
        <v>9</v>
      </c>
      <c r="E6" s="18">
        <f>C6+D6</f>
        <v>301.73199999999997</v>
      </c>
      <c r="F6" s="19">
        <v>0</v>
      </c>
      <c r="G6" s="20"/>
      <c r="H6" s="21"/>
      <c r="I6" s="21"/>
      <c r="J6" s="22">
        <f>E6-F6-G6</f>
        <v>301.73199999999997</v>
      </c>
      <c r="L6" s="173" t="s">
        <v>36</v>
      </c>
      <c r="M6" s="173"/>
      <c r="N6" s="23">
        <f>D6</f>
        <v>9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8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35</v>
      </c>
    </row>
    <row r="7" spans="1:27" ht="21">
      <c r="A7" s="15" t="s">
        <v>37</v>
      </c>
      <c r="B7" s="16" t="s">
        <v>25</v>
      </c>
      <c r="C7" s="122">
        <v>134.5</v>
      </c>
      <c r="D7" s="17">
        <v>10</v>
      </c>
      <c r="E7" s="18">
        <f>C7+D7</f>
        <v>144.5</v>
      </c>
      <c r="F7" s="19">
        <v>0</v>
      </c>
      <c r="G7" s="20"/>
      <c r="H7" s="21"/>
      <c r="I7" s="25"/>
      <c r="J7" s="22">
        <f>E7-F7-G7</f>
        <v>144.5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301.73199999999997</v>
      </c>
      <c r="O9" s="28">
        <f>J7</f>
        <v>144.5</v>
      </c>
      <c r="P9" s="114">
        <f>J8</f>
        <v>113.5</v>
      </c>
      <c r="Q9" s="27">
        <f>J9</f>
        <v>53.120000000000005</v>
      </c>
      <c r="R9" s="27">
        <f>J10</f>
        <v>163.95</v>
      </c>
      <c r="S9" s="30">
        <f>J11</f>
        <v>104.509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904.24599999999987</v>
      </c>
    </row>
    <row r="10" spans="1:27" ht="21">
      <c r="A10" s="15" t="s">
        <v>43</v>
      </c>
      <c r="B10" s="16" t="s">
        <v>28</v>
      </c>
      <c r="C10" s="122">
        <v>155.94999999999999</v>
      </c>
      <c r="D10" s="17">
        <v>8</v>
      </c>
      <c r="E10" s="18">
        <f>C10+D10</f>
        <v>163.95</v>
      </c>
      <c r="F10" s="19">
        <v>0</v>
      </c>
      <c r="G10" s="20"/>
      <c r="H10" s="21"/>
      <c r="I10" s="21"/>
      <c r="J10" s="22">
        <f t="shared" si="0"/>
        <v>163.95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96.509</v>
      </c>
      <c r="D11" s="17">
        <v>8</v>
      </c>
      <c r="E11" s="18">
        <f>C11+D11</f>
        <v>104.509</v>
      </c>
      <c r="F11" s="19">
        <v>0</v>
      </c>
      <c r="G11" s="20"/>
      <c r="H11" s="21"/>
      <c r="I11" s="21"/>
      <c r="J11" s="22">
        <f>E11-F11-G11</f>
        <v>104.509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3.42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3.48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14.21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0.67499999999999993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0.6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2.625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11.700000000000001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10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44.400000000000006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351.46100000000149</v>
      </c>
      <c r="D19" s="51">
        <v>56.49</v>
      </c>
      <c r="E19" s="52">
        <f>C19+D19</f>
        <v>407.9510000000015</v>
      </c>
      <c r="F19" s="53">
        <f>J29</f>
        <v>60.500000000000007</v>
      </c>
      <c r="G19" s="54"/>
      <c r="H19" s="55">
        <v>0</v>
      </c>
      <c r="I19" s="56"/>
      <c r="J19" s="57">
        <f>E19-F19-G19</f>
        <v>347.4510000000015</v>
      </c>
      <c r="L19" s="58" t="s">
        <v>61</v>
      </c>
      <c r="M19" s="58"/>
      <c r="N19" s="31">
        <f>N6*4</f>
        <v>36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32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140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179.4510000000015</v>
      </c>
      <c r="L21" s="58" t="s">
        <v>69</v>
      </c>
      <c r="M21" s="58"/>
      <c r="N21" s="31">
        <f>N6*3</f>
        <v>27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17.600000000000001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84.199999999999989</v>
      </c>
    </row>
    <row r="22" spans="1:24" ht="21" customHeight="1" thickBot="1">
      <c r="A22" s="77" t="s">
        <v>70</v>
      </c>
      <c r="B22" s="78">
        <f>P9</f>
        <v>113.5</v>
      </c>
      <c r="C22" s="79">
        <v>100</v>
      </c>
      <c r="D22" s="80"/>
      <c r="E22" s="143" t="s">
        <v>71</v>
      </c>
      <c r="F22" s="144"/>
      <c r="G22" s="81">
        <v>65</v>
      </c>
      <c r="H22" s="82">
        <f>G22*6</f>
        <v>390</v>
      </c>
      <c r="I22" s="83">
        <f>H22*0.115</f>
        <v>44.85</v>
      </c>
      <c r="J22" s="84">
        <f>I22*1.16</f>
        <v>52.025999999999996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144.5</v>
      </c>
      <c r="C23" s="79">
        <v>100</v>
      </c>
      <c r="D23" s="80">
        <v>10</v>
      </c>
      <c r="E23" s="143" t="s">
        <v>74</v>
      </c>
      <c r="F23" s="144"/>
      <c r="G23" s="81">
        <v>20</v>
      </c>
      <c r="H23" s="82">
        <f>G23*6</f>
        <v>120</v>
      </c>
      <c r="I23" s="83">
        <f>H23*0.115</f>
        <v>13.8</v>
      </c>
      <c r="J23" s="84">
        <f>I23*1.16</f>
        <v>16.007999999999999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301.73199999999997</v>
      </c>
      <c r="C24" s="79">
        <v>240</v>
      </c>
      <c r="D24" s="80">
        <v>35.25</v>
      </c>
      <c r="E24" s="143" t="s">
        <v>77</v>
      </c>
      <c r="F24" s="144"/>
      <c r="G24" s="86">
        <v>55</v>
      </c>
      <c r="H24" s="82">
        <f>G24*6</f>
        <v>330</v>
      </c>
      <c r="I24" s="83">
        <f>H24*0.115</f>
        <v>37.950000000000003</v>
      </c>
      <c r="J24" s="84">
        <f>I24*1.16</f>
        <v>44.021999999999998</v>
      </c>
      <c r="K24" s="87"/>
      <c r="L24" s="88">
        <v>1</v>
      </c>
      <c r="M24" s="89" t="s">
        <v>78</v>
      </c>
      <c r="N24" s="90">
        <f>X6</f>
        <v>35</v>
      </c>
      <c r="O24" s="91" t="s">
        <v>79</v>
      </c>
    </row>
    <row r="25" spans="1:24" ht="21.75" customHeight="1">
      <c r="A25" s="77" t="s">
        <v>80</v>
      </c>
      <c r="B25" s="78">
        <f>S9</f>
        <v>104.509</v>
      </c>
      <c r="C25" s="79">
        <v>68</v>
      </c>
      <c r="D25" s="80">
        <v>50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163.95</v>
      </c>
      <c r="C26" s="79">
        <v>98</v>
      </c>
      <c r="D26" s="80">
        <v>62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904.24599999999987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626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110</v>
      </c>
      <c r="J28" s="126">
        <f>(G28*0.55)</f>
        <v>60.500000000000007</v>
      </c>
      <c r="L28" s="88">
        <v>5</v>
      </c>
      <c r="M28" s="89" t="s">
        <v>92</v>
      </c>
      <c r="N28" s="92">
        <f>D19</f>
        <v>56.49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110</v>
      </c>
      <c r="H29" s="82">
        <f>G29*6</f>
        <v>660</v>
      </c>
      <c r="I29" s="83"/>
      <c r="J29" s="126">
        <f>SUM(J27:J28)</f>
        <v>60.500000000000007</v>
      </c>
      <c r="L29" s="88">
        <v>6</v>
      </c>
      <c r="M29" s="89" t="s">
        <v>95</v>
      </c>
      <c r="N29" s="92">
        <f>N28*0.325</f>
        <v>18.359250000000003</v>
      </c>
      <c r="O29" s="98" t="s">
        <v>79</v>
      </c>
    </row>
    <row r="30" spans="1:24" ht="21.75" thickBot="1">
      <c r="A30" s="99" t="s">
        <v>96</v>
      </c>
      <c r="B30" s="100">
        <f>SUM(B22:B29)</f>
        <v>904.24599999999998</v>
      </c>
      <c r="C30" s="100">
        <f>SUM(C22:C29)</f>
        <v>626</v>
      </c>
      <c r="D30" s="113">
        <f>SUM(D23:D29)</f>
        <v>196.5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4.9999999984891019E-3</v>
      </c>
      <c r="K30" s="87"/>
      <c r="L30" s="88">
        <v>7</v>
      </c>
      <c r="M30" s="105" t="s">
        <v>98</v>
      </c>
      <c r="N30" s="106">
        <f>J29</f>
        <v>60.500000000000007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29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37"/>
  <sheetViews>
    <sheetView topLeftCell="A8" zoomScale="64" zoomScaleNormal="64" workbookViewId="0">
      <selection activeCell="A32" sqref="A32:M32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104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284.23199999999997</v>
      </c>
      <c r="D6" s="17">
        <v>18</v>
      </c>
      <c r="E6" s="18">
        <f>C6+D6</f>
        <v>302.23199999999997</v>
      </c>
      <c r="F6" s="19">
        <v>9.5</v>
      </c>
      <c r="G6" s="20"/>
      <c r="H6" s="21"/>
      <c r="I6" s="21"/>
      <c r="J6" s="22">
        <f>E6-F6-G6</f>
        <v>292.73199999999997</v>
      </c>
      <c r="L6" s="173" t="s">
        <v>36</v>
      </c>
      <c r="M6" s="173"/>
      <c r="N6" s="23">
        <f>D6</f>
        <v>18</v>
      </c>
      <c r="O6" s="23">
        <f>D7</f>
        <v>20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38</v>
      </c>
    </row>
    <row r="7" spans="1:27" ht="21">
      <c r="A7" s="15" t="s">
        <v>37</v>
      </c>
      <c r="B7" s="16" t="s">
        <v>25</v>
      </c>
      <c r="C7" s="122">
        <v>123.5</v>
      </c>
      <c r="D7" s="17">
        <v>20</v>
      </c>
      <c r="E7" s="18">
        <f>C7+D7</f>
        <v>143.5</v>
      </c>
      <c r="F7" s="19">
        <v>9</v>
      </c>
      <c r="G7" s="20"/>
      <c r="H7" s="21"/>
      <c r="I7" s="25"/>
      <c r="J7" s="22">
        <f>E7-F7-G7</f>
        <v>134.5</v>
      </c>
      <c r="L7" s="173" t="s">
        <v>38</v>
      </c>
      <c r="M7" s="173"/>
      <c r="N7" s="23">
        <f>F6</f>
        <v>9.5</v>
      </c>
      <c r="O7" s="23">
        <f>F7</f>
        <v>9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6.5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25</v>
      </c>
    </row>
    <row r="8" spans="1:27" ht="21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292.73199999999997</v>
      </c>
      <c r="O9" s="28">
        <f>J7</f>
        <v>134.5</v>
      </c>
      <c r="P9" s="114">
        <f>J8</f>
        <v>113.5</v>
      </c>
      <c r="Q9" s="27">
        <f>J9</f>
        <v>53.120000000000005</v>
      </c>
      <c r="R9" s="27">
        <f>J10</f>
        <v>155.94999999999999</v>
      </c>
      <c r="S9" s="30">
        <f>J11</f>
        <v>96.509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869.24599999999987</v>
      </c>
    </row>
    <row r="10" spans="1:27" ht="21">
      <c r="A10" s="15" t="s">
        <v>43</v>
      </c>
      <c r="B10" s="16" t="s">
        <v>28</v>
      </c>
      <c r="C10" s="122">
        <v>155.94999999999999</v>
      </c>
      <c r="D10" s="17">
        <v>0</v>
      </c>
      <c r="E10" s="18">
        <f>C10+D10</f>
        <v>155.94999999999999</v>
      </c>
      <c r="F10" s="19">
        <v>0</v>
      </c>
      <c r="G10" s="20"/>
      <c r="H10" s="21"/>
      <c r="I10" s="21"/>
      <c r="J10" s="22">
        <f t="shared" si="0"/>
        <v>155.94999999999999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103.009</v>
      </c>
      <c r="D11" s="17">
        <v>0</v>
      </c>
      <c r="E11" s="18">
        <f>C11+D11</f>
        <v>103.009</v>
      </c>
      <c r="F11" s="19">
        <v>6.5</v>
      </c>
      <c r="G11" s="20"/>
      <c r="H11" s="21"/>
      <c r="I11" s="21"/>
      <c r="J11" s="22">
        <f>E11-F11-G11</f>
        <v>96.509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6.84</v>
      </c>
      <c r="O12" s="31">
        <f>O6*0.355</f>
        <v>7.1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13.94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1.3499999999999999</v>
      </c>
      <c r="O13" s="31">
        <f t="shared" si="2"/>
        <v>1.5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2.8499999999999996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23.400000000000002</v>
      </c>
      <c r="O16" s="31">
        <f>O6*1.35</f>
        <v>27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50.400000000000006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384.48100000000147</v>
      </c>
      <c r="D19" s="51">
        <v>27.48</v>
      </c>
      <c r="E19" s="52">
        <f>C19+D19</f>
        <v>411.96100000000149</v>
      </c>
      <c r="F19" s="53">
        <f>J29</f>
        <v>60.500000000000007</v>
      </c>
      <c r="G19" s="54"/>
      <c r="H19" s="55">
        <v>0</v>
      </c>
      <c r="I19" s="56"/>
      <c r="J19" s="57">
        <f>E19-F19-G19</f>
        <v>351.46100000000149</v>
      </c>
      <c r="L19" s="58" t="s">
        <v>61</v>
      </c>
      <c r="M19" s="58"/>
      <c r="N19" s="31">
        <f>N6*4</f>
        <v>72</v>
      </c>
      <c r="O19" s="59">
        <f t="shared" ref="O19:W19" si="4">O6*4</f>
        <v>80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152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183.46100000000149</v>
      </c>
      <c r="L21" s="58" t="s">
        <v>69</v>
      </c>
      <c r="M21" s="58"/>
      <c r="N21" s="31">
        <f>N6*3</f>
        <v>54</v>
      </c>
      <c r="O21" s="31">
        <f>O6*2.2</f>
        <v>44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98</v>
      </c>
    </row>
    <row r="22" spans="1:24" ht="21" customHeight="1" thickBot="1">
      <c r="A22" s="77" t="s">
        <v>70</v>
      </c>
      <c r="B22" s="78">
        <f>P9</f>
        <v>113.5</v>
      </c>
      <c r="C22" s="79">
        <v>100</v>
      </c>
      <c r="D22" s="80"/>
      <c r="E22" s="143" t="s">
        <v>71</v>
      </c>
      <c r="F22" s="144"/>
      <c r="G22" s="81">
        <v>20</v>
      </c>
      <c r="H22" s="82">
        <f>G22*6</f>
        <v>120</v>
      </c>
      <c r="I22" s="83">
        <f>H22*0.115</f>
        <v>13.8</v>
      </c>
      <c r="J22" s="84">
        <f>I22*1.16</f>
        <v>16.007999999999999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134.5</v>
      </c>
      <c r="C23" s="79">
        <v>100</v>
      </c>
      <c r="D23" s="80">
        <v>10</v>
      </c>
      <c r="E23" s="143" t="s">
        <v>74</v>
      </c>
      <c r="F23" s="144"/>
      <c r="G23" s="81">
        <v>65</v>
      </c>
      <c r="H23" s="82">
        <f>G23*6</f>
        <v>390</v>
      </c>
      <c r="I23" s="83">
        <f>H23*0.115</f>
        <v>44.85</v>
      </c>
      <c r="J23" s="84">
        <f>I23*1.16</f>
        <v>52.025999999999996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292.73199999999997</v>
      </c>
      <c r="C24" s="79">
        <v>240</v>
      </c>
      <c r="D24" s="80">
        <v>35.25</v>
      </c>
      <c r="E24" s="143" t="s">
        <v>77</v>
      </c>
      <c r="F24" s="144"/>
      <c r="G24" s="86">
        <v>60</v>
      </c>
      <c r="H24" s="82">
        <f>G24*6</f>
        <v>360</v>
      </c>
      <c r="I24" s="83">
        <f>H24*0.115</f>
        <v>41.4</v>
      </c>
      <c r="J24" s="84">
        <f>I24*1.16</f>
        <v>48.023999999999994</v>
      </c>
      <c r="K24" s="87"/>
      <c r="L24" s="88">
        <v>1</v>
      </c>
      <c r="M24" s="89" t="s">
        <v>78</v>
      </c>
      <c r="N24" s="90">
        <f>X6</f>
        <v>38</v>
      </c>
      <c r="O24" s="91" t="s">
        <v>79</v>
      </c>
    </row>
    <row r="25" spans="1:24" ht="21.75" customHeight="1">
      <c r="A25" s="77" t="s">
        <v>80</v>
      </c>
      <c r="B25" s="78">
        <f>S9</f>
        <v>96.509</v>
      </c>
      <c r="C25" s="79">
        <v>60</v>
      </c>
      <c r="D25" s="80">
        <v>50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25</v>
      </c>
      <c r="O25" s="91" t="s">
        <v>79</v>
      </c>
    </row>
    <row r="26" spans="1:24" ht="21" customHeight="1">
      <c r="A26" s="77" t="s">
        <v>83</v>
      </c>
      <c r="B26" s="78">
        <f>R9</f>
        <v>155.94999999999999</v>
      </c>
      <c r="C26" s="79">
        <v>90</v>
      </c>
      <c r="D26" s="80">
        <v>62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869.24599999999987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610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110</v>
      </c>
      <c r="J28" s="126">
        <f>(G28*0.55)</f>
        <v>60.500000000000007</v>
      </c>
      <c r="L28" s="88">
        <v>5</v>
      </c>
      <c r="M28" s="89" t="s">
        <v>92</v>
      </c>
      <c r="N28" s="92">
        <f>D19</f>
        <v>27.48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110</v>
      </c>
      <c r="H29" s="82">
        <f>G29*6</f>
        <v>660</v>
      </c>
      <c r="I29" s="83"/>
      <c r="J29" s="126">
        <f>SUM(J27:J28)</f>
        <v>60.500000000000007</v>
      </c>
      <c r="L29" s="88">
        <v>6</v>
      </c>
      <c r="M29" s="89" t="s">
        <v>95</v>
      </c>
      <c r="N29" s="92">
        <f>N28*0.325</f>
        <v>8.9310000000000009</v>
      </c>
      <c r="O29" s="98" t="s">
        <v>79</v>
      </c>
    </row>
    <row r="30" spans="1:24" ht="21.75" thickBot="1">
      <c r="A30" s="99" t="s">
        <v>96</v>
      </c>
      <c r="B30" s="100">
        <f>SUM(B22:B29)</f>
        <v>869.24599999999998</v>
      </c>
      <c r="C30" s="100">
        <f>SUM(C22:C29)</f>
        <v>610</v>
      </c>
      <c r="D30" s="113">
        <f>SUM(D23:D29)</f>
        <v>196.5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-3.0000000014922534E-3</v>
      </c>
      <c r="K30" s="87"/>
      <c r="L30" s="88">
        <v>7</v>
      </c>
      <c r="M30" s="105" t="s">
        <v>98</v>
      </c>
      <c r="N30" s="106">
        <f>J29</f>
        <v>60.500000000000007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28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37"/>
  <sheetViews>
    <sheetView zoomScale="64" zoomScaleNormal="64" workbookViewId="0">
      <selection activeCell="H3" sqref="H3:J5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103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284.23199999999997</v>
      </c>
      <c r="D6" s="17">
        <v>0</v>
      </c>
      <c r="E6" s="18">
        <f>C6+D6</f>
        <v>284.23199999999997</v>
      </c>
      <c r="F6" s="19">
        <v>0</v>
      </c>
      <c r="G6" s="20"/>
      <c r="H6" s="21"/>
      <c r="I6" s="21"/>
      <c r="J6" s="22">
        <f>E6-F6-G6</f>
        <v>284.23199999999997</v>
      </c>
      <c r="L6" s="173" t="s">
        <v>36</v>
      </c>
      <c r="M6" s="173"/>
      <c r="N6" s="23">
        <f>D6</f>
        <v>0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17</v>
      </c>
      <c r="S6" s="23">
        <f>D11</f>
        <v>9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>
      <c r="A7" s="15" t="s">
        <v>37</v>
      </c>
      <c r="B7" s="16" t="s">
        <v>25</v>
      </c>
      <c r="C7" s="122">
        <v>113.5</v>
      </c>
      <c r="D7" s="17">
        <v>10</v>
      </c>
      <c r="E7" s="18">
        <f>C7+D7</f>
        <v>123.5</v>
      </c>
      <c r="F7" s="19">
        <v>0</v>
      </c>
      <c r="G7" s="20"/>
      <c r="H7" s="21"/>
      <c r="I7" s="25"/>
      <c r="J7" s="22">
        <f>E7-F7-G7</f>
        <v>123.5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113.5</v>
      </c>
      <c r="D8" s="17"/>
      <c r="E8" s="18">
        <f>C8+D8</f>
        <v>113.5</v>
      </c>
      <c r="F8" s="19">
        <v>0</v>
      </c>
      <c r="G8" s="20"/>
      <c r="H8" s="21"/>
      <c r="I8" s="25"/>
      <c r="J8" s="22">
        <f t="shared" ref="J8:J12" si="0">E8-F8-G8</f>
        <v>113.5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284.23199999999997</v>
      </c>
      <c r="O9" s="28">
        <f>J7</f>
        <v>123.5</v>
      </c>
      <c r="P9" s="114">
        <f>J8</f>
        <v>113.5</v>
      </c>
      <c r="Q9" s="27">
        <f>J9</f>
        <v>53.120000000000005</v>
      </c>
      <c r="R9" s="27">
        <f>J10</f>
        <v>155.94999999999999</v>
      </c>
      <c r="S9" s="30">
        <f>J11</f>
        <v>103.009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856.24599999999987</v>
      </c>
    </row>
    <row r="10" spans="1:27" ht="21">
      <c r="A10" s="15" t="s">
        <v>43</v>
      </c>
      <c r="B10" s="16" t="s">
        <v>28</v>
      </c>
      <c r="C10" s="122">
        <v>138.94999999999999</v>
      </c>
      <c r="D10" s="17">
        <v>17</v>
      </c>
      <c r="E10" s="18">
        <f>C10+D10</f>
        <v>155.94999999999999</v>
      </c>
      <c r="F10" s="19">
        <v>0</v>
      </c>
      <c r="G10" s="20"/>
      <c r="H10" s="21"/>
      <c r="I10" s="21"/>
      <c r="J10" s="22">
        <f t="shared" si="0"/>
        <v>155.94999999999999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94.009</v>
      </c>
      <c r="D11" s="17">
        <v>9</v>
      </c>
      <c r="E11" s="18">
        <f>C11+D11</f>
        <v>103.009</v>
      </c>
      <c r="F11" s="19">
        <v>0</v>
      </c>
      <c r="G11" s="20"/>
      <c r="H11" s="21"/>
      <c r="I11" s="21"/>
      <c r="J11" s="22">
        <f>E11-F11-G11</f>
        <v>103.009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0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7.9899999999999993</v>
      </c>
      <c r="S12" s="31">
        <f>S6*0.435</f>
        <v>3.915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15.454999999999998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1.2749999999999999</v>
      </c>
      <c r="S13" s="31">
        <f t="shared" si="2"/>
        <v>0.67499999999999993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2.6999999999999997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0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19.549999999999997</v>
      </c>
      <c r="S16" s="31">
        <f>S6*1.25</f>
        <v>11.25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44.3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365.38100000000145</v>
      </c>
      <c r="D19" s="51">
        <v>68.599999999999994</v>
      </c>
      <c r="E19" s="52">
        <f>C19+D19</f>
        <v>433.98100000000147</v>
      </c>
      <c r="F19" s="53">
        <f>J29</f>
        <v>49.500000000000007</v>
      </c>
      <c r="G19" s="54"/>
      <c r="H19" s="55">
        <v>0</v>
      </c>
      <c r="I19" s="56"/>
      <c r="J19" s="57">
        <f>E19-F19-G19</f>
        <v>384.48100000000147</v>
      </c>
      <c r="L19" s="58" t="s">
        <v>61</v>
      </c>
      <c r="M19" s="58"/>
      <c r="N19" s="31">
        <f>N6*4</f>
        <v>0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68</v>
      </c>
      <c r="S19" s="59">
        <f t="shared" si="4"/>
        <v>36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216.48100000000147</v>
      </c>
      <c r="L21" s="58" t="s">
        <v>69</v>
      </c>
      <c r="M21" s="58"/>
      <c r="N21" s="31">
        <f>N6*3</f>
        <v>0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37.400000000000006</v>
      </c>
      <c r="S21" s="31">
        <f t="shared" si="5"/>
        <v>19.8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79.2</v>
      </c>
    </row>
    <row r="22" spans="1:24" ht="21" customHeight="1" thickBot="1">
      <c r="A22" s="77" t="s">
        <v>70</v>
      </c>
      <c r="B22" s="78">
        <f>P9</f>
        <v>113.5</v>
      </c>
      <c r="C22" s="79">
        <v>100</v>
      </c>
      <c r="D22" s="80"/>
      <c r="E22" s="143" t="s">
        <v>71</v>
      </c>
      <c r="F22" s="144"/>
      <c r="G22" s="81">
        <v>60</v>
      </c>
      <c r="H22" s="82">
        <f>G22*6</f>
        <v>360</v>
      </c>
      <c r="I22" s="83">
        <f>H22*0.115</f>
        <v>41.4</v>
      </c>
      <c r="J22" s="84">
        <f>I22*1.16</f>
        <v>48.023999999999994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123.5</v>
      </c>
      <c r="C23" s="79">
        <v>90</v>
      </c>
      <c r="D23" s="80">
        <v>10</v>
      </c>
      <c r="E23" s="143" t="s">
        <v>74</v>
      </c>
      <c r="F23" s="144"/>
      <c r="G23" s="81">
        <v>70</v>
      </c>
      <c r="H23" s="82">
        <f>G23*6</f>
        <v>420</v>
      </c>
      <c r="I23" s="83">
        <f>H23*0.115</f>
        <v>48.300000000000004</v>
      </c>
      <c r="J23" s="84">
        <f>I23*1.16</f>
        <v>56.027999999999999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284.23199999999997</v>
      </c>
      <c r="C24" s="79">
        <v>220</v>
      </c>
      <c r="D24" s="80">
        <v>35.25</v>
      </c>
      <c r="E24" s="143" t="s">
        <v>77</v>
      </c>
      <c r="F24" s="144"/>
      <c r="G24" s="86">
        <v>70</v>
      </c>
      <c r="H24" s="82">
        <f>G24*6</f>
        <v>420</v>
      </c>
      <c r="I24" s="83">
        <f>H24*0.115</f>
        <v>48.300000000000004</v>
      </c>
      <c r="J24" s="84">
        <f>I24*1.16</f>
        <v>56.027999999999999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>
      <c r="A25" s="77" t="s">
        <v>80</v>
      </c>
      <c r="B25" s="78">
        <f>S9</f>
        <v>103.009</v>
      </c>
      <c r="C25" s="79">
        <v>55</v>
      </c>
      <c r="D25" s="80">
        <v>50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155.94999999999999</v>
      </c>
      <c r="C26" s="79">
        <v>90</v>
      </c>
      <c r="D26" s="80">
        <v>62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856.24599999999987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575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90</v>
      </c>
      <c r="J28" s="126">
        <f>(G28*0.55)</f>
        <v>49.500000000000007</v>
      </c>
      <c r="L28" s="88">
        <v>5</v>
      </c>
      <c r="M28" s="89" t="s">
        <v>92</v>
      </c>
      <c r="N28" s="92">
        <f>D19</f>
        <v>68.599999999999994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90</v>
      </c>
      <c r="H29" s="82">
        <f>G29*6</f>
        <v>540</v>
      </c>
      <c r="I29" s="83"/>
      <c r="J29" s="126">
        <f>SUM(J27:J28)</f>
        <v>49.500000000000007</v>
      </c>
      <c r="L29" s="88">
        <v>6</v>
      </c>
      <c r="M29" s="89" t="s">
        <v>95</v>
      </c>
      <c r="N29" s="92">
        <f>N28*0.325</f>
        <v>22.294999999999998</v>
      </c>
      <c r="O29" s="98" t="s">
        <v>79</v>
      </c>
    </row>
    <row r="30" spans="1:24" ht="21.75" thickBot="1">
      <c r="A30" s="99" t="s">
        <v>96</v>
      </c>
      <c r="B30" s="100">
        <f>SUM(B22:B29)</f>
        <v>856.24599999999998</v>
      </c>
      <c r="C30" s="100">
        <f>SUM(C22:C29)</f>
        <v>575</v>
      </c>
      <c r="D30" s="113">
        <f>SUM(D23:D29)</f>
        <v>196.5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-1.0000000015111254E-3</v>
      </c>
      <c r="K30" s="87"/>
      <c r="L30" s="88">
        <v>7</v>
      </c>
      <c r="M30" s="105" t="s">
        <v>98</v>
      </c>
      <c r="N30" s="106">
        <f>J29</f>
        <v>49.500000000000007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27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7"/>
  <sheetViews>
    <sheetView zoomScale="64" zoomScaleNormal="64" workbookViewId="0">
      <selection activeCell="C28" sqref="C28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113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386.23200000000003</v>
      </c>
      <c r="D6" s="17">
        <v>9</v>
      </c>
      <c r="E6" s="18">
        <f>C6+D6</f>
        <v>395.23200000000003</v>
      </c>
      <c r="F6" s="19">
        <v>4</v>
      </c>
      <c r="G6" s="20"/>
      <c r="H6" s="21"/>
      <c r="I6" s="21"/>
      <c r="J6" s="22">
        <f>E6-F6-G6</f>
        <v>391.23200000000003</v>
      </c>
      <c r="L6" s="173" t="s">
        <v>36</v>
      </c>
      <c r="M6" s="173"/>
      <c r="N6" s="23">
        <f>D6</f>
        <v>9</v>
      </c>
      <c r="O6" s="23">
        <f>D7</f>
        <v>9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>
      <c r="A7" s="15" t="s">
        <v>37</v>
      </c>
      <c r="B7" s="16" t="s">
        <v>25</v>
      </c>
      <c r="C7" s="122">
        <v>183</v>
      </c>
      <c r="D7" s="17">
        <v>9</v>
      </c>
      <c r="E7" s="18">
        <f>C7+D7</f>
        <v>192</v>
      </c>
      <c r="F7" s="19">
        <v>0</v>
      </c>
      <c r="G7" s="20"/>
      <c r="H7" s="21"/>
      <c r="I7" s="25"/>
      <c r="J7" s="22">
        <f>E7-F7-G7</f>
        <v>192</v>
      </c>
      <c r="L7" s="173" t="s">
        <v>38</v>
      </c>
      <c r="M7" s="173"/>
      <c r="N7" s="23">
        <f>F6</f>
        <v>4</v>
      </c>
      <c r="O7" s="23">
        <f>F7</f>
        <v>0</v>
      </c>
      <c r="P7" s="23">
        <f>F8</f>
        <v>0</v>
      </c>
      <c r="Q7" s="23">
        <f>F9</f>
        <v>5.5</v>
      </c>
      <c r="R7" s="23">
        <f>F10</f>
        <v>0</v>
      </c>
      <c r="S7" s="23">
        <f>F11</f>
        <v>6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15.5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59.87</v>
      </c>
      <c r="D9" s="17"/>
      <c r="E9" s="18">
        <f t="shared" ref="E9:E18" si="1">C9+D9</f>
        <v>59.87</v>
      </c>
      <c r="F9" s="19">
        <v>5.5</v>
      </c>
      <c r="G9" s="20"/>
      <c r="H9" s="21"/>
      <c r="I9" s="21"/>
      <c r="J9" s="22">
        <f t="shared" si="0"/>
        <v>54.37</v>
      </c>
      <c r="L9" s="174" t="s">
        <v>42</v>
      </c>
      <c r="M9" s="174"/>
      <c r="N9" s="27">
        <f>J6</f>
        <v>391.23200000000003</v>
      </c>
      <c r="O9" s="28">
        <f>J7</f>
        <v>192</v>
      </c>
      <c r="P9" s="114">
        <f>J8</f>
        <v>138.5</v>
      </c>
      <c r="Q9" s="27">
        <f>J9</f>
        <v>54.37</v>
      </c>
      <c r="R9" s="27">
        <f>J10</f>
        <v>152.44999999999999</v>
      </c>
      <c r="S9" s="30">
        <f>J11</f>
        <v>107.009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1058.4959999999999</v>
      </c>
    </row>
    <row r="10" spans="1:27" ht="21">
      <c r="A10" s="15" t="s">
        <v>43</v>
      </c>
      <c r="B10" s="16" t="s">
        <v>28</v>
      </c>
      <c r="C10" s="122">
        <v>152.44999999999999</v>
      </c>
      <c r="D10" s="17"/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113.009</v>
      </c>
      <c r="D11" s="17"/>
      <c r="E11" s="18">
        <f>C11+D11</f>
        <v>113.009</v>
      </c>
      <c r="F11" s="19">
        <v>6</v>
      </c>
      <c r="G11" s="20"/>
      <c r="H11" s="21"/>
      <c r="I11" s="21"/>
      <c r="J11" s="22">
        <f>E11-F11-G11</f>
        <v>107.009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3.42</v>
      </c>
      <c r="O12" s="31">
        <f>O6*0.355</f>
        <v>3.1949999999999998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6.6150000000000002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0.67499999999999993</v>
      </c>
      <c r="O13" s="31">
        <f t="shared" si="2"/>
        <v>0.67499999999999993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1.3499999999999999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11.700000000000001</v>
      </c>
      <c r="O16" s="31">
        <f>O6*1.35</f>
        <v>12.15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23.85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328.06100000000146</v>
      </c>
      <c r="D19" s="51">
        <v>27.89</v>
      </c>
      <c r="E19" s="52">
        <f>C19+D19</f>
        <v>355.95100000000144</v>
      </c>
      <c r="F19" s="53">
        <f>J29</f>
        <v>38.5</v>
      </c>
      <c r="G19" s="54"/>
      <c r="H19" s="55">
        <v>0</v>
      </c>
      <c r="I19" s="56"/>
      <c r="J19" s="57">
        <f>E19-F19-G19</f>
        <v>317.45100000000144</v>
      </c>
      <c r="L19" s="58" t="s">
        <v>61</v>
      </c>
      <c r="M19" s="58"/>
      <c r="N19" s="31">
        <f>N6*4</f>
        <v>36</v>
      </c>
      <c r="O19" s="59">
        <f t="shared" ref="O19:W19" si="4">O6*4</f>
        <v>36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149.45100000000144</v>
      </c>
      <c r="L21" s="58" t="s">
        <v>69</v>
      </c>
      <c r="M21" s="58"/>
      <c r="N21" s="31">
        <f>N6*3</f>
        <v>27</v>
      </c>
      <c r="O21" s="31">
        <f>O6*2.2</f>
        <v>19.8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46.8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40</v>
      </c>
      <c r="H22" s="82">
        <f>G22*6</f>
        <v>240</v>
      </c>
      <c r="I22" s="83">
        <f>H22*0.115</f>
        <v>27.6</v>
      </c>
      <c r="J22" s="84">
        <f>I22*1.16</f>
        <v>32.015999999999998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192</v>
      </c>
      <c r="C23" s="79">
        <v>179</v>
      </c>
      <c r="D23" s="80">
        <v>2.5</v>
      </c>
      <c r="E23" s="143" t="s">
        <v>74</v>
      </c>
      <c r="F23" s="144"/>
      <c r="G23" s="81">
        <v>20</v>
      </c>
      <c r="H23" s="82">
        <f>G23*6</f>
        <v>120</v>
      </c>
      <c r="I23" s="83">
        <f>H23*0.115</f>
        <v>13.8</v>
      </c>
      <c r="J23" s="84">
        <f>I23*1.16</f>
        <v>16.007999999999999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391.23200000000003</v>
      </c>
      <c r="C24" s="79">
        <v>305</v>
      </c>
      <c r="D24" s="80">
        <v>20</v>
      </c>
      <c r="E24" s="143" t="s">
        <v>77</v>
      </c>
      <c r="F24" s="144"/>
      <c r="G24" s="86">
        <v>70</v>
      </c>
      <c r="H24" s="82">
        <f>G24*6</f>
        <v>420</v>
      </c>
      <c r="I24" s="83">
        <f>H24*0.115</f>
        <v>48.300000000000004</v>
      </c>
      <c r="J24" s="84">
        <f>I24*1.16</f>
        <v>56.027999999999999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>
      <c r="A25" s="77" t="s">
        <v>80</v>
      </c>
      <c r="B25" s="78">
        <f>S9</f>
        <v>107.009</v>
      </c>
      <c r="C25" s="79">
        <v>65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15.5</v>
      </c>
      <c r="O25" s="91" t="s">
        <v>79</v>
      </c>
    </row>
    <row r="26" spans="1:24" ht="21" customHeight="1">
      <c r="A26" s="77" t="s">
        <v>83</v>
      </c>
      <c r="B26" s="78">
        <f>R9</f>
        <v>152.44999999999999</v>
      </c>
      <c r="C26" s="79">
        <v>110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1058.4959999999999</v>
      </c>
      <c r="O26" s="91" t="s">
        <v>79</v>
      </c>
    </row>
    <row r="27" spans="1:24" ht="21" customHeight="1">
      <c r="A27" s="77" t="s">
        <v>86</v>
      </c>
      <c r="B27" s="78">
        <f>Q9</f>
        <v>54.37</v>
      </c>
      <c r="C27" s="79">
        <v>15</v>
      </c>
      <c r="D27" s="80">
        <v>24</v>
      </c>
      <c r="E27" s="143" t="s">
        <v>87</v>
      </c>
      <c r="F27" s="144"/>
      <c r="G27" s="93"/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774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70</v>
      </c>
      <c r="J28" s="126">
        <f>(G28*0.55)</f>
        <v>38.5</v>
      </c>
      <c r="L28" s="88">
        <v>5</v>
      </c>
      <c r="M28" s="89" t="s">
        <v>92</v>
      </c>
      <c r="N28" s="92">
        <f>D19</f>
        <v>27.89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70</v>
      </c>
      <c r="H29" s="82">
        <f>G29*6</f>
        <v>420</v>
      </c>
      <c r="I29" s="83"/>
      <c r="J29" s="126">
        <f>SUM(J27:J28)</f>
        <v>38.5</v>
      </c>
      <c r="L29" s="88">
        <v>6</v>
      </c>
      <c r="M29" s="89" t="s">
        <v>95</v>
      </c>
      <c r="N29" s="92">
        <f>N28*0.325</f>
        <v>9.0642500000000013</v>
      </c>
      <c r="O29" s="98" t="s">
        <v>79</v>
      </c>
    </row>
    <row r="30" spans="1:24" ht="21.75" thickBot="1">
      <c r="A30" s="99" t="s">
        <v>96</v>
      </c>
      <c r="B30" s="100">
        <f>SUM(B22:B29)</f>
        <v>1058.4959999999999</v>
      </c>
      <c r="C30" s="100">
        <f>SUM(C22:C29)</f>
        <v>774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9.9999999855526767E-4</v>
      </c>
      <c r="K30" s="87"/>
      <c r="L30" s="88">
        <v>7</v>
      </c>
      <c r="M30" s="105" t="s">
        <v>98</v>
      </c>
      <c r="N30" s="106">
        <f>J29</f>
        <v>38.5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39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>
        <f>1020-989</f>
        <v>31</v>
      </c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37"/>
  <sheetViews>
    <sheetView topLeftCell="A6" zoomScale="64" zoomScaleNormal="64" workbookViewId="0">
      <selection activeCell="D20" sqref="D20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112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368.23200000000003</v>
      </c>
      <c r="D6" s="17">
        <v>18</v>
      </c>
      <c r="E6" s="18">
        <f>C6+D6</f>
        <v>386.23200000000003</v>
      </c>
      <c r="F6" s="19">
        <v>0</v>
      </c>
      <c r="G6" s="20"/>
      <c r="H6" s="21"/>
      <c r="I6" s="21"/>
      <c r="J6" s="22">
        <f>E6-F6-G6</f>
        <v>386.23200000000003</v>
      </c>
      <c r="L6" s="173" t="s">
        <v>36</v>
      </c>
      <c r="M6" s="173"/>
      <c r="N6" s="23">
        <f>D6</f>
        <v>18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0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>
      <c r="A7" s="15" t="s">
        <v>37</v>
      </c>
      <c r="B7" s="16" t="s">
        <v>25</v>
      </c>
      <c r="C7" s="122">
        <v>183</v>
      </c>
      <c r="D7" s="17"/>
      <c r="E7" s="18">
        <f>C7+D7</f>
        <v>183</v>
      </c>
      <c r="F7" s="19">
        <v>0</v>
      </c>
      <c r="G7" s="20"/>
      <c r="H7" s="21"/>
      <c r="I7" s="25"/>
      <c r="J7" s="22">
        <f>E7-F7-G7</f>
        <v>183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59.87</v>
      </c>
      <c r="D9" s="17"/>
      <c r="E9" s="18">
        <f t="shared" ref="E9:E18" si="1">C9+D9</f>
        <v>59.87</v>
      </c>
      <c r="F9" s="19">
        <v>0</v>
      </c>
      <c r="G9" s="20"/>
      <c r="H9" s="21"/>
      <c r="I9" s="21"/>
      <c r="J9" s="22">
        <f t="shared" si="0"/>
        <v>59.87</v>
      </c>
      <c r="L9" s="174" t="s">
        <v>42</v>
      </c>
      <c r="M9" s="174"/>
      <c r="N9" s="27">
        <f>J6</f>
        <v>386.23200000000003</v>
      </c>
      <c r="O9" s="28">
        <f>J7</f>
        <v>183</v>
      </c>
      <c r="P9" s="114">
        <f>J8</f>
        <v>138.5</v>
      </c>
      <c r="Q9" s="27">
        <f>J9</f>
        <v>59.87</v>
      </c>
      <c r="R9" s="27">
        <f>J10</f>
        <v>152.44999999999999</v>
      </c>
      <c r="S9" s="30">
        <f>J11</f>
        <v>113.009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1055.9959999999999</v>
      </c>
    </row>
    <row r="10" spans="1:27" ht="21">
      <c r="A10" s="15" t="s">
        <v>43</v>
      </c>
      <c r="B10" s="16" t="s">
        <v>28</v>
      </c>
      <c r="C10" s="122">
        <v>152.44999999999999</v>
      </c>
      <c r="D10" s="17"/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113.009</v>
      </c>
      <c r="D11" s="17"/>
      <c r="E11" s="18">
        <f>C11+D11</f>
        <v>113.009</v>
      </c>
      <c r="F11" s="19"/>
      <c r="G11" s="20"/>
      <c r="H11" s="21"/>
      <c r="I11" s="21"/>
      <c r="J11" s="22">
        <f>E11-F11-G11</f>
        <v>113.009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6.84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0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6.84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1.3499999999999999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0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1.3499999999999999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23.400000000000002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0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23.400000000000002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336.66100000000148</v>
      </c>
      <c r="D19" s="51">
        <v>18.899999999999999</v>
      </c>
      <c r="E19" s="52">
        <f>C19+D19</f>
        <v>355.56100000000146</v>
      </c>
      <c r="F19" s="53">
        <f>J29</f>
        <v>27.500000000000004</v>
      </c>
      <c r="G19" s="54"/>
      <c r="H19" s="55">
        <v>0</v>
      </c>
      <c r="I19" s="56"/>
      <c r="J19" s="57">
        <f>E19-F19-G19</f>
        <v>328.06100000000146</v>
      </c>
      <c r="L19" s="58" t="s">
        <v>61</v>
      </c>
      <c r="M19" s="58"/>
      <c r="N19" s="31">
        <f>N6*4</f>
        <v>72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0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160.06100000000146</v>
      </c>
      <c r="L21" s="58" t="s">
        <v>69</v>
      </c>
      <c r="M21" s="58"/>
      <c r="N21" s="31">
        <f>N6*3</f>
        <v>54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0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54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60</v>
      </c>
      <c r="H22" s="82">
        <f>G22*6</f>
        <v>360</v>
      </c>
      <c r="I22" s="83">
        <f>H22*0.115</f>
        <v>41.4</v>
      </c>
      <c r="J22" s="84">
        <f>I22*1.16</f>
        <v>48.023999999999994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183</v>
      </c>
      <c r="C23" s="79">
        <v>170</v>
      </c>
      <c r="D23" s="80">
        <v>2.5</v>
      </c>
      <c r="E23" s="143" t="s">
        <v>74</v>
      </c>
      <c r="F23" s="144"/>
      <c r="G23" s="81">
        <v>59</v>
      </c>
      <c r="H23" s="82">
        <f>G23*6</f>
        <v>354</v>
      </c>
      <c r="I23" s="83">
        <f>H23*0.115</f>
        <v>40.71</v>
      </c>
      <c r="J23" s="84">
        <f>I23*1.16</f>
        <v>47.223599999999998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386.23200000000003</v>
      </c>
      <c r="C24" s="79">
        <v>300</v>
      </c>
      <c r="D24" s="80">
        <v>20</v>
      </c>
      <c r="E24" s="143" t="s">
        <v>77</v>
      </c>
      <c r="F24" s="144"/>
      <c r="G24" s="86">
        <v>38</v>
      </c>
      <c r="H24" s="82">
        <f>G24*6</f>
        <v>228</v>
      </c>
      <c r="I24" s="83">
        <f>H24*0.115</f>
        <v>26.220000000000002</v>
      </c>
      <c r="J24" s="84">
        <f>I24*1.16</f>
        <v>30.415200000000002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>
      <c r="A25" s="77" t="s">
        <v>80</v>
      </c>
      <c r="B25" s="78">
        <f>S9</f>
        <v>113.009</v>
      </c>
      <c r="C25" s="79">
        <v>70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152.44999999999999</v>
      </c>
      <c r="C26" s="79">
        <v>110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1055.9959999999999</v>
      </c>
      <c r="O26" s="91" t="s">
        <v>79</v>
      </c>
    </row>
    <row r="27" spans="1:24" ht="21" customHeight="1">
      <c r="A27" s="77" t="s">
        <v>86</v>
      </c>
      <c r="B27" s="78">
        <f>Q9</f>
        <v>59.87</v>
      </c>
      <c r="C27" s="79">
        <v>20</v>
      </c>
      <c r="D27" s="80">
        <v>24</v>
      </c>
      <c r="E27" s="143" t="s">
        <v>87</v>
      </c>
      <c r="F27" s="144"/>
      <c r="G27" s="93"/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50</v>
      </c>
      <c r="J28" s="126">
        <f>(G28*0.55)</f>
        <v>27.500000000000004</v>
      </c>
      <c r="L28" s="88">
        <v>5</v>
      </c>
      <c r="M28" s="89" t="s">
        <v>92</v>
      </c>
      <c r="N28" s="92">
        <f>D19</f>
        <v>18.899999999999999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50</v>
      </c>
      <c r="H29" s="82">
        <f>G29*6</f>
        <v>300</v>
      </c>
      <c r="I29" s="83"/>
      <c r="J29" s="126">
        <f>SUM(J27:J28)</f>
        <v>27.500000000000004</v>
      </c>
      <c r="L29" s="88">
        <v>6</v>
      </c>
      <c r="M29" s="89" t="s">
        <v>95</v>
      </c>
      <c r="N29" s="92">
        <f>N28*0.325</f>
        <v>6.1425000000000001</v>
      </c>
      <c r="O29" s="98" t="s">
        <v>79</v>
      </c>
    </row>
    <row r="30" spans="1:24" ht="21.75" thickBot="1">
      <c r="A30" s="99" t="s">
        <v>96</v>
      </c>
      <c r="B30" s="100">
        <f>SUM(B22:B29)</f>
        <v>1055.9959999999999</v>
      </c>
      <c r="C30" s="100">
        <f>SUM(C22:C29)</f>
        <v>770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1.7999999985249815E-3</v>
      </c>
      <c r="K30" s="87"/>
      <c r="L30" s="88">
        <v>7</v>
      </c>
      <c r="M30" s="105" t="s">
        <v>98</v>
      </c>
      <c r="N30" s="106">
        <f>J29</f>
        <v>27.500000000000004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37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>
        <f>1020-989</f>
        <v>31</v>
      </c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7"/>
  <sheetViews>
    <sheetView topLeftCell="A4" zoomScale="64" zoomScaleNormal="64" workbookViewId="0">
      <selection activeCell="N26" sqref="N26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111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368.23200000000003</v>
      </c>
      <c r="D6" s="17"/>
      <c r="E6" s="18">
        <f>C6+D6</f>
        <v>368.23200000000003</v>
      </c>
      <c r="F6" s="19">
        <v>0</v>
      </c>
      <c r="G6" s="20"/>
      <c r="H6" s="21"/>
      <c r="I6" s="21"/>
      <c r="J6" s="22">
        <f>E6-F6-G6</f>
        <v>368.23200000000003</v>
      </c>
      <c r="L6" s="173" t="s">
        <v>36</v>
      </c>
      <c r="M6" s="173"/>
      <c r="N6" s="23">
        <f>D6</f>
        <v>0</v>
      </c>
      <c r="O6" s="23">
        <f>D7</f>
        <v>9.5</v>
      </c>
      <c r="P6" s="23">
        <f>D8</f>
        <v>0</v>
      </c>
      <c r="Q6" s="23">
        <f>D9</f>
        <v>0</v>
      </c>
      <c r="R6" s="23">
        <f>D10</f>
        <v>8.5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18</v>
      </c>
    </row>
    <row r="7" spans="1:27" ht="21">
      <c r="A7" s="15" t="s">
        <v>37</v>
      </c>
      <c r="B7" s="16" t="s">
        <v>25</v>
      </c>
      <c r="C7" s="122">
        <v>173.5</v>
      </c>
      <c r="D7" s="17">
        <v>9.5</v>
      </c>
      <c r="E7" s="18">
        <f>C7+D7</f>
        <v>183</v>
      </c>
      <c r="F7" s="19">
        <v>0</v>
      </c>
      <c r="G7" s="20"/>
      <c r="H7" s="21"/>
      <c r="I7" s="25"/>
      <c r="J7" s="22">
        <f>E7-F7-G7</f>
        <v>183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59.87</v>
      </c>
      <c r="D9" s="17"/>
      <c r="E9" s="18">
        <f t="shared" ref="E9:E18" si="1">C9+D9</f>
        <v>59.87</v>
      </c>
      <c r="F9" s="19">
        <v>0</v>
      </c>
      <c r="G9" s="20"/>
      <c r="H9" s="21"/>
      <c r="I9" s="21"/>
      <c r="J9" s="22">
        <f t="shared" si="0"/>
        <v>59.87</v>
      </c>
      <c r="L9" s="174" t="s">
        <v>42</v>
      </c>
      <c r="M9" s="174"/>
      <c r="N9" s="27">
        <f>J6</f>
        <v>368.23200000000003</v>
      </c>
      <c r="O9" s="28">
        <f>J7</f>
        <v>183</v>
      </c>
      <c r="P9" s="114">
        <f>J8</f>
        <v>138.5</v>
      </c>
      <c r="Q9" s="27">
        <f>J9</f>
        <v>59.87</v>
      </c>
      <c r="R9" s="27">
        <f>J10</f>
        <v>152.44999999999999</v>
      </c>
      <c r="S9" s="30">
        <f>J11</f>
        <v>113.009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1037.9959999999999</v>
      </c>
    </row>
    <row r="10" spans="1:27" ht="21">
      <c r="A10" s="15" t="s">
        <v>43</v>
      </c>
      <c r="B10" s="16" t="s">
        <v>28</v>
      </c>
      <c r="C10" s="122">
        <v>143.94999999999999</v>
      </c>
      <c r="D10" s="17">
        <v>8.5</v>
      </c>
      <c r="E10" s="18">
        <f>C10+D10</f>
        <v>152.44999999999999</v>
      </c>
      <c r="F10" s="19"/>
      <c r="G10" s="20"/>
      <c r="H10" s="21"/>
      <c r="I10" s="21"/>
      <c r="J10" s="22">
        <f t="shared" si="0"/>
        <v>152.44999999999999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113.009</v>
      </c>
      <c r="D11" s="17"/>
      <c r="E11" s="18">
        <f>C11+D11</f>
        <v>113.009</v>
      </c>
      <c r="F11" s="19"/>
      <c r="G11" s="20"/>
      <c r="H11" s="21"/>
      <c r="I11" s="21"/>
      <c r="J11" s="22">
        <f>E11-F11-G11</f>
        <v>113.009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0</v>
      </c>
      <c r="O12" s="31">
        <f>O6*0.355</f>
        <v>3.3724999999999996</v>
      </c>
      <c r="P12" s="31">
        <f>P6*0.35</f>
        <v>0</v>
      </c>
      <c r="Q12" s="31">
        <f>Q6*0.48</f>
        <v>0</v>
      </c>
      <c r="R12" s="31">
        <f>R6*0.47</f>
        <v>3.9949999999999997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7.3674999999999997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</v>
      </c>
      <c r="O13" s="31">
        <f t="shared" si="2"/>
        <v>0.71250000000000002</v>
      </c>
      <c r="P13" s="31">
        <f t="shared" si="2"/>
        <v>0</v>
      </c>
      <c r="Q13" s="31">
        <f t="shared" si="2"/>
        <v>0</v>
      </c>
      <c r="R13" s="31">
        <f t="shared" si="2"/>
        <v>0.63749999999999996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1.35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0</v>
      </c>
      <c r="O16" s="31">
        <f>O6*1.35</f>
        <v>12.825000000000001</v>
      </c>
      <c r="P16" s="31">
        <f>P6*1.35</f>
        <v>0</v>
      </c>
      <c r="Q16" s="31">
        <f>Q6*1.1</f>
        <v>0</v>
      </c>
      <c r="R16" s="31">
        <f>R6*1.15</f>
        <v>9.7749999999999986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22.6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342.4510000000015</v>
      </c>
      <c r="D19" s="51">
        <v>32.71</v>
      </c>
      <c r="E19" s="52">
        <f>C19+D19</f>
        <v>375.16100000000148</v>
      </c>
      <c r="F19" s="53">
        <f>J29</f>
        <v>38.5</v>
      </c>
      <c r="G19" s="54"/>
      <c r="H19" s="55">
        <v>0</v>
      </c>
      <c r="I19" s="56"/>
      <c r="J19" s="57">
        <f>E19-F19-G19</f>
        <v>336.66100000000148</v>
      </c>
      <c r="L19" s="58" t="s">
        <v>61</v>
      </c>
      <c r="M19" s="58"/>
      <c r="N19" s="31">
        <f>N6*4</f>
        <v>0</v>
      </c>
      <c r="O19" s="59">
        <f t="shared" ref="O19:W19" si="4">O6*4</f>
        <v>38</v>
      </c>
      <c r="P19" s="59">
        <f t="shared" si="4"/>
        <v>0</v>
      </c>
      <c r="Q19" s="59">
        <f t="shared" si="4"/>
        <v>0</v>
      </c>
      <c r="R19" s="59">
        <f t="shared" si="4"/>
        <v>34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72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168.66100000000148</v>
      </c>
      <c r="L21" s="58" t="s">
        <v>69</v>
      </c>
      <c r="M21" s="58"/>
      <c r="N21" s="31">
        <f>N6*3</f>
        <v>0</v>
      </c>
      <c r="O21" s="31">
        <f>O6*2.2</f>
        <v>20.900000000000002</v>
      </c>
      <c r="P21" s="31">
        <f t="shared" ref="P21:W21" si="5">P6*2.2</f>
        <v>0</v>
      </c>
      <c r="Q21" s="31">
        <f t="shared" si="5"/>
        <v>0</v>
      </c>
      <c r="R21" s="31">
        <f t="shared" si="5"/>
        <v>18.700000000000003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39.600000000000009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70</v>
      </c>
      <c r="H22" s="82">
        <f>G22*6</f>
        <v>420</v>
      </c>
      <c r="I22" s="83">
        <f>H22*0.115</f>
        <v>48.300000000000004</v>
      </c>
      <c r="J22" s="84">
        <f>I22*1.16</f>
        <v>56.027999999999999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183</v>
      </c>
      <c r="C23" s="79">
        <v>170</v>
      </c>
      <c r="D23" s="80">
        <v>2.5</v>
      </c>
      <c r="E23" s="143" t="s">
        <v>74</v>
      </c>
      <c r="F23" s="144"/>
      <c r="G23" s="81">
        <v>39</v>
      </c>
      <c r="H23" s="82">
        <f>G23*6</f>
        <v>234</v>
      </c>
      <c r="I23" s="83">
        <f>H23*0.115</f>
        <v>26.91</v>
      </c>
      <c r="J23" s="84">
        <f>I23*1.16</f>
        <v>31.215599999999998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368.23200000000003</v>
      </c>
      <c r="C24" s="79">
        <v>300</v>
      </c>
      <c r="D24" s="80">
        <v>20</v>
      </c>
      <c r="E24" s="143" t="s">
        <v>77</v>
      </c>
      <c r="F24" s="144"/>
      <c r="G24" s="86">
        <v>45</v>
      </c>
      <c r="H24" s="82">
        <f>G24*6</f>
        <v>270</v>
      </c>
      <c r="I24" s="83">
        <f>H24*0.115</f>
        <v>31.05</v>
      </c>
      <c r="J24" s="84">
        <f>I24*1.16</f>
        <v>36.018000000000001</v>
      </c>
      <c r="K24" s="87"/>
      <c r="L24" s="88">
        <v>1</v>
      </c>
      <c r="M24" s="89" t="s">
        <v>78</v>
      </c>
      <c r="N24" s="90">
        <f>X6</f>
        <v>18</v>
      </c>
      <c r="O24" s="91" t="s">
        <v>79</v>
      </c>
    </row>
    <row r="25" spans="1:24" ht="21.75" customHeight="1">
      <c r="A25" s="77" t="s">
        <v>80</v>
      </c>
      <c r="B25" s="78">
        <f>S9</f>
        <v>113.009</v>
      </c>
      <c r="C25" s="79">
        <v>70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152.44999999999999</v>
      </c>
      <c r="C26" s="79">
        <v>110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138">
        <f>X9</f>
        <v>1037.9959999999999</v>
      </c>
      <c r="O26" s="91" t="s">
        <v>79</v>
      </c>
    </row>
    <row r="27" spans="1:24" ht="21" customHeight="1">
      <c r="A27" s="77" t="s">
        <v>86</v>
      </c>
      <c r="B27" s="78">
        <f>Q9</f>
        <v>59.87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70</v>
      </c>
      <c r="J28" s="126">
        <f>(G28*0.55)</f>
        <v>38.5</v>
      </c>
      <c r="L28" s="88">
        <v>5</v>
      </c>
      <c r="M28" s="89" t="s">
        <v>92</v>
      </c>
      <c r="N28" s="92">
        <f>D19</f>
        <v>32.71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70</v>
      </c>
      <c r="H29" s="82">
        <f>G29*6</f>
        <v>420</v>
      </c>
      <c r="I29" s="83"/>
      <c r="J29" s="126">
        <f>SUM(J27:J28)</f>
        <v>38.5</v>
      </c>
      <c r="L29" s="88">
        <v>6</v>
      </c>
      <c r="M29" s="89" t="s">
        <v>95</v>
      </c>
      <c r="N29" s="92">
        <f>N28*0.325</f>
        <v>10.630750000000001</v>
      </c>
      <c r="O29" s="98" t="s">
        <v>79</v>
      </c>
    </row>
    <row r="30" spans="1:24" ht="21.75" thickBot="1">
      <c r="A30" s="99" t="s">
        <v>96</v>
      </c>
      <c r="B30" s="100">
        <f>SUM(B22:B29)</f>
        <v>1037.9960000000001</v>
      </c>
      <c r="C30" s="100">
        <f>SUM(C22:C29)</f>
        <v>770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5.9999999851356733E-4</v>
      </c>
      <c r="K30" s="87"/>
      <c r="L30" s="88">
        <v>7</v>
      </c>
      <c r="M30" s="105" t="s">
        <v>98</v>
      </c>
      <c r="N30" s="106">
        <f>J29</f>
        <v>38.5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36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>
        <f>1020-989</f>
        <v>31</v>
      </c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7"/>
  <sheetViews>
    <sheetView topLeftCell="A4" zoomScale="64" zoomScaleNormal="64" workbookViewId="0">
      <selection activeCell="N26" sqref="N26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110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f>10.5+338.732</f>
        <v>349.23200000000003</v>
      </c>
      <c r="D6" s="17">
        <v>19</v>
      </c>
      <c r="E6" s="18">
        <f>C6+D6</f>
        <v>368.23200000000003</v>
      </c>
      <c r="F6" s="19">
        <v>0</v>
      </c>
      <c r="G6" s="20"/>
      <c r="H6" s="21"/>
      <c r="I6" s="21"/>
      <c r="J6" s="22">
        <f>E6-F6-G6</f>
        <v>368.23200000000003</v>
      </c>
      <c r="L6" s="173" t="s">
        <v>36</v>
      </c>
      <c r="M6" s="173"/>
      <c r="N6" s="23">
        <f>D6</f>
        <v>19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8.5</v>
      </c>
      <c r="S6" s="23">
        <f>D11</f>
        <v>8.5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>
      <c r="A7" s="15" t="s">
        <v>37</v>
      </c>
      <c r="B7" s="16" t="s">
        <v>25</v>
      </c>
      <c r="C7" s="122">
        <v>173.5</v>
      </c>
      <c r="D7" s="17"/>
      <c r="E7" s="18">
        <f>C7+D7</f>
        <v>173.5</v>
      </c>
      <c r="F7" s="19">
        <v>0</v>
      </c>
      <c r="G7" s="20"/>
      <c r="H7" s="21"/>
      <c r="I7" s="25"/>
      <c r="J7" s="22">
        <f>E7-F7-G7</f>
        <v>173.5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52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52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f>6.75+53.12</f>
        <v>59.87</v>
      </c>
      <c r="D9" s="17"/>
      <c r="E9" s="18">
        <f t="shared" ref="E9:E18" si="1">C9+D9</f>
        <v>59.87</v>
      </c>
      <c r="F9" s="19">
        <v>0</v>
      </c>
      <c r="G9" s="20"/>
      <c r="H9" s="21"/>
      <c r="I9" s="21"/>
      <c r="J9" s="22">
        <f t="shared" si="0"/>
        <v>59.87</v>
      </c>
      <c r="L9" s="174" t="s">
        <v>42</v>
      </c>
      <c r="M9" s="174"/>
      <c r="N9" s="27">
        <f>J6</f>
        <v>368.23200000000003</v>
      </c>
      <c r="O9" s="28">
        <f>J7</f>
        <v>173.5</v>
      </c>
      <c r="P9" s="114">
        <f>J8</f>
        <v>138.5</v>
      </c>
      <c r="Q9" s="27">
        <f>J9</f>
        <v>59.87</v>
      </c>
      <c r="R9" s="27">
        <f>J10</f>
        <v>143.94999999999999</v>
      </c>
      <c r="S9" s="30">
        <f>J11</f>
        <v>113.009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1019.9959999999999</v>
      </c>
    </row>
    <row r="10" spans="1:27" ht="21">
      <c r="A10" s="15" t="s">
        <v>43</v>
      </c>
      <c r="B10" s="16" t="s">
        <v>28</v>
      </c>
      <c r="C10" s="122">
        <f>7.5+179.95</f>
        <v>187.45</v>
      </c>
      <c r="D10" s="17">
        <v>8.5</v>
      </c>
      <c r="E10" s="18">
        <f>C10+D10</f>
        <v>195.95</v>
      </c>
      <c r="F10" s="19">
        <v>52</v>
      </c>
      <c r="G10" s="20"/>
      <c r="H10" s="21"/>
      <c r="I10" s="21"/>
      <c r="J10" s="22">
        <f t="shared" si="0"/>
        <v>143.94999999999999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f>6.25+98.259</f>
        <v>104.509</v>
      </c>
      <c r="D11" s="17">
        <v>8.5</v>
      </c>
      <c r="E11" s="18">
        <f>C11+D11</f>
        <v>113.009</v>
      </c>
      <c r="F11" s="19"/>
      <c r="G11" s="20"/>
      <c r="H11" s="21"/>
      <c r="I11" s="21"/>
      <c r="J11" s="22">
        <f>E11-F11-G11</f>
        <v>113.009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7.22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3.9949999999999997</v>
      </c>
      <c r="S12" s="31">
        <f>S6*0.435</f>
        <v>3.6974999999999998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14.9125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1.425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0.63749999999999996</v>
      </c>
      <c r="S13" s="31">
        <f t="shared" si="2"/>
        <v>0.63749999999999996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24.7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9.7749999999999986</v>
      </c>
      <c r="S16" s="31">
        <f>S6*1.25</f>
        <v>10.625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45.099999999999994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349.29100000000147</v>
      </c>
      <c r="D19" s="51">
        <v>64.66</v>
      </c>
      <c r="E19" s="52">
        <f>C19+D19</f>
        <v>413.9510000000015</v>
      </c>
      <c r="F19" s="53">
        <f>J29</f>
        <v>71.5</v>
      </c>
      <c r="G19" s="54"/>
      <c r="H19" s="55">
        <v>0</v>
      </c>
      <c r="I19" s="56"/>
      <c r="J19" s="57">
        <f>E19-F19-G19</f>
        <v>342.4510000000015</v>
      </c>
      <c r="L19" s="58" t="s">
        <v>61</v>
      </c>
      <c r="M19" s="58"/>
      <c r="N19" s="31">
        <f>N6*4</f>
        <v>76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34</v>
      </c>
      <c r="S19" s="59">
        <f t="shared" si="4"/>
        <v>34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174.4510000000015</v>
      </c>
      <c r="L21" s="58" t="s">
        <v>69</v>
      </c>
      <c r="M21" s="58"/>
      <c r="N21" s="31">
        <f>N6*3</f>
        <v>57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18.700000000000003</v>
      </c>
      <c r="S21" s="31">
        <f t="shared" si="5"/>
        <v>18.700000000000003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94.4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68</v>
      </c>
      <c r="H22" s="82">
        <f>G22*6</f>
        <v>408</v>
      </c>
      <c r="I22" s="83">
        <f>H22*0.115</f>
        <v>46.92</v>
      </c>
      <c r="J22" s="84">
        <f>I22*1.16</f>
        <v>54.427199999999999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173.5</v>
      </c>
      <c r="C23" s="79">
        <v>170</v>
      </c>
      <c r="D23" s="80">
        <v>2.5</v>
      </c>
      <c r="E23" s="143" t="s">
        <v>74</v>
      </c>
      <c r="F23" s="144"/>
      <c r="G23" s="81">
        <v>20</v>
      </c>
      <c r="H23" s="82">
        <f>G23*6</f>
        <v>120</v>
      </c>
      <c r="I23" s="83">
        <f>H23*0.115</f>
        <v>13.8</v>
      </c>
      <c r="J23" s="84">
        <f>I23*1.16</f>
        <v>16.007999999999999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368.23200000000003</v>
      </c>
      <c r="C24" s="79">
        <v>300</v>
      </c>
      <c r="D24" s="80">
        <v>20</v>
      </c>
      <c r="E24" s="143" t="s">
        <v>77</v>
      </c>
      <c r="F24" s="144"/>
      <c r="G24" s="86">
        <v>32</v>
      </c>
      <c r="H24" s="82">
        <f>G24*6</f>
        <v>192</v>
      </c>
      <c r="I24" s="83">
        <f>H24*0.115</f>
        <v>22.080000000000002</v>
      </c>
      <c r="J24" s="84">
        <f>I24*1.16</f>
        <v>25.6128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>
      <c r="A25" s="77" t="s">
        <v>80</v>
      </c>
      <c r="B25" s="78">
        <f>S9</f>
        <v>113.009</v>
      </c>
      <c r="C25" s="79">
        <v>70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52</v>
      </c>
      <c r="O25" s="91" t="s">
        <v>79</v>
      </c>
    </row>
    <row r="26" spans="1:24" ht="21" customHeight="1">
      <c r="A26" s="77" t="s">
        <v>83</v>
      </c>
      <c r="B26" s="78">
        <f>R9</f>
        <v>143.94999999999999</v>
      </c>
      <c r="C26" s="79">
        <v>110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1019.9959999999999</v>
      </c>
      <c r="O26" s="91" t="s">
        <v>79</v>
      </c>
    </row>
    <row r="27" spans="1:24" ht="21" customHeight="1">
      <c r="A27" s="77" t="s">
        <v>86</v>
      </c>
      <c r="B27" s="78">
        <f>Q9</f>
        <v>59.87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130</v>
      </c>
      <c r="J28" s="126">
        <f>(G28*0.55)</f>
        <v>71.5</v>
      </c>
      <c r="L28" s="88">
        <v>5</v>
      </c>
      <c r="M28" s="89" t="s">
        <v>92</v>
      </c>
      <c r="N28" s="92">
        <f>D19</f>
        <v>64.66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130</v>
      </c>
      <c r="H29" s="82">
        <f>G29*6</f>
        <v>780</v>
      </c>
      <c r="I29" s="83"/>
      <c r="J29" s="126">
        <f>SUM(J27:J28)</f>
        <v>71.5</v>
      </c>
      <c r="L29" s="88">
        <v>6</v>
      </c>
      <c r="M29" s="89" t="s">
        <v>95</v>
      </c>
      <c r="N29" s="92">
        <f>N28*0.325</f>
        <v>21.014499999999998</v>
      </c>
      <c r="O29" s="98" t="s">
        <v>79</v>
      </c>
    </row>
    <row r="30" spans="1:24" ht="21.75" thickBot="1">
      <c r="A30" s="99" t="s">
        <v>96</v>
      </c>
      <c r="B30" s="100">
        <f>SUM(B22:B29)</f>
        <v>1019.996</v>
      </c>
      <c r="C30" s="100">
        <f>SUM(C22:C29)</f>
        <v>770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-3.0000000014922534E-3</v>
      </c>
      <c r="K30" s="87"/>
      <c r="L30" s="88">
        <v>7</v>
      </c>
      <c r="M30" s="105" t="s">
        <v>98</v>
      </c>
      <c r="N30" s="106">
        <f>J29</f>
        <v>71.5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35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>
        <f>1020-989</f>
        <v>31</v>
      </c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7"/>
  <sheetViews>
    <sheetView zoomScale="64" zoomScaleNormal="64" workbookViewId="0">
      <selection activeCell="S33" sqref="S33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109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319.73200000000003</v>
      </c>
      <c r="D6" s="17">
        <v>19</v>
      </c>
      <c r="E6" s="18">
        <f>C6+D6</f>
        <v>338.73200000000003</v>
      </c>
      <c r="F6" s="19">
        <v>0</v>
      </c>
      <c r="G6" s="20"/>
      <c r="H6" s="21"/>
      <c r="I6" s="21"/>
      <c r="J6" s="22">
        <f>E6-F6-G6</f>
        <v>338.73200000000003</v>
      </c>
      <c r="L6" s="173" t="s">
        <v>36</v>
      </c>
      <c r="M6" s="173"/>
      <c r="N6" s="23">
        <f>D6</f>
        <v>19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37</v>
      </c>
    </row>
    <row r="7" spans="1:27" ht="21">
      <c r="A7" s="15" t="s">
        <v>37</v>
      </c>
      <c r="B7" s="16" t="s">
        <v>25</v>
      </c>
      <c r="C7" s="122">
        <v>163.5</v>
      </c>
      <c r="D7" s="17">
        <v>10</v>
      </c>
      <c r="E7" s="18">
        <f>C7+D7</f>
        <v>173.5</v>
      </c>
      <c r="F7" s="19">
        <v>0</v>
      </c>
      <c r="G7" s="20"/>
      <c r="H7" s="21"/>
      <c r="I7" s="25"/>
      <c r="J7" s="22">
        <f>E7-F7-G7</f>
        <v>173.5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0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338.73200000000003</v>
      </c>
      <c r="O9" s="28">
        <f>J7</f>
        <v>173.5</v>
      </c>
      <c r="P9" s="114">
        <f>J8</f>
        <v>138.5</v>
      </c>
      <c r="Q9" s="27">
        <f>J9</f>
        <v>53.120000000000005</v>
      </c>
      <c r="R9" s="27">
        <f>J10</f>
        <v>179.95</v>
      </c>
      <c r="S9" s="30">
        <f>J11</f>
        <v>98.259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1004.9959999999999</v>
      </c>
    </row>
    <row r="10" spans="1:27" ht="21">
      <c r="A10" s="15" t="s">
        <v>43</v>
      </c>
      <c r="B10" s="16" t="s">
        <v>28</v>
      </c>
      <c r="C10" s="122">
        <v>171.95</v>
      </c>
      <c r="D10" s="17">
        <v>8</v>
      </c>
      <c r="E10" s="18">
        <f>C10+D10</f>
        <v>179.95</v>
      </c>
      <c r="F10" s="19">
        <v>0</v>
      </c>
      <c r="G10" s="20"/>
      <c r="H10" s="21"/>
      <c r="I10" s="21"/>
      <c r="J10" s="22">
        <f t="shared" si="0"/>
        <v>179.95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98.259</v>
      </c>
      <c r="D11" s="17">
        <v>0</v>
      </c>
      <c r="E11" s="18">
        <f>C11+D11</f>
        <v>98.259</v>
      </c>
      <c r="F11" s="19">
        <v>0</v>
      </c>
      <c r="G11" s="20"/>
      <c r="H11" s="21"/>
      <c r="I11" s="21"/>
      <c r="J11" s="22">
        <f>E11-F11-G11</f>
        <v>98.259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7.22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14.53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1.425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2.7749999999999999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24.7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47.400000000000006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355.85100000000148</v>
      </c>
      <c r="D19" s="51">
        <v>31.94</v>
      </c>
      <c r="E19" s="52">
        <f>C19+D19</f>
        <v>387.79100000000147</v>
      </c>
      <c r="F19" s="53">
        <f>J29</f>
        <v>38.5</v>
      </c>
      <c r="G19" s="54"/>
      <c r="H19" s="55">
        <v>0</v>
      </c>
      <c r="I19" s="56"/>
      <c r="J19" s="57">
        <f>E19-F19-G19</f>
        <v>349.29100000000147</v>
      </c>
      <c r="L19" s="58" t="s">
        <v>61</v>
      </c>
      <c r="M19" s="58"/>
      <c r="N19" s="31">
        <f>N6*4</f>
        <v>76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148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181.29100000000147</v>
      </c>
      <c r="L21" s="58" t="s">
        <v>69</v>
      </c>
      <c r="M21" s="58"/>
      <c r="N21" s="31">
        <f>N6*3</f>
        <v>57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96.6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80</v>
      </c>
      <c r="H22" s="82">
        <f>G22*6</f>
        <v>480</v>
      </c>
      <c r="I22" s="83">
        <f>H22*0.115</f>
        <v>55.2</v>
      </c>
      <c r="J22" s="84">
        <f>I22*1.16</f>
        <v>64.031999999999996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173.5</v>
      </c>
      <c r="C23" s="79">
        <v>170</v>
      </c>
      <c r="D23" s="80">
        <v>2.5</v>
      </c>
      <c r="E23" s="143" t="s">
        <v>74</v>
      </c>
      <c r="F23" s="144"/>
      <c r="G23" s="81">
        <v>23</v>
      </c>
      <c r="H23" s="82">
        <f>G23*6</f>
        <v>138</v>
      </c>
      <c r="I23" s="83">
        <f>H23*0.115</f>
        <v>15.870000000000001</v>
      </c>
      <c r="J23" s="84">
        <f>I23*1.16</f>
        <v>18.409199999999998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338.73200000000003</v>
      </c>
      <c r="C24" s="79">
        <v>300</v>
      </c>
      <c r="D24" s="80">
        <v>20</v>
      </c>
      <c r="E24" s="143" t="s">
        <v>77</v>
      </c>
      <c r="F24" s="144"/>
      <c r="G24" s="86">
        <v>56</v>
      </c>
      <c r="H24" s="82">
        <f>G24*6</f>
        <v>336</v>
      </c>
      <c r="I24" s="83">
        <f>H24*0.115</f>
        <v>38.64</v>
      </c>
      <c r="J24" s="84">
        <f>I24*1.16</f>
        <v>44.822399999999995</v>
      </c>
      <c r="K24" s="87"/>
      <c r="L24" s="88">
        <v>1</v>
      </c>
      <c r="M24" s="89" t="s">
        <v>78</v>
      </c>
      <c r="N24" s="90">
        <f>X6</f>
        <v>37</v>
      </c>
      <c r="O24" s="91" t="s">
        <v>79</v>
      </c>
    </row>
    <row r="25" spans="1:24" ht="21.75" customHeight="1">
      <c r="A25" s="77" t="s">
        <v>80</v>
      </c>
      <c r="B25" s="78">
        <f>S9</f>
        <v>98.259</v>
      </c>
      <c r="C25" s="79">
        <v>70</v>
      </c>
      <c r="D25" s="80">
        <v>45</v>
      </c>
      <c r="E25" s="143" t="s">
        <v>81</v>
      </c>
      <c r="F25" s="144"/>
      <c r="G25" s="81">
        <v>70</v>
      </c>
      <c r="I25" s="83"/>
      <c r="J25" s="84">
        <f>G25*0.15*1.15</f>
        <v>12.074999999999999</v>
      </c>
      <c r="K25" s="87"/>
      <c r="L25" s="88">
        <v>2</v>
      </c>
      <c r="M25" s="89" t="s">
        <v>82</v>
      </c>
      <c r="N25" s="92">
        <f>X7+X8</f>
        <v>0</v>
      </c>
      <c r="O25" s="91" t="s">
        <v>79</v>
      </c>
    </row>
    <row r="26" spans="1:24" ht="21" customHeight="1">
      <c r="A26" s="77" t="s">
        <v>83</v>
      </c>
      <c r="B26" s="78">
        <f>R9</f>
        <v>179.95</v>
      </c>
      <c r="C26" s="79">
        <v>110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1004.9959999999999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770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70</v>
      </c>
      <c r="J28" s="126">
        <f>(G28*0.55)</f>
        <v>38.5</v>
      </c>
      <c r="L28" s="88">
        <v>5</v>
      </c>
      <c r="M28" s="89" t="s">
        <v>92</v>
      </c>
      <c r="N28" s="92">
        <f>D19</f>
        <v>31.94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70</v>
      </c>
      <c r="H29" s="82">
        <f>G29*6</f>
        <v>420</v>
      </c>
      <c r="I29" s="83"/>
      <c r="J29" s="126">
        <f>SUM(J27:J28)</f>
        <v>38.5</v>
      </c>
      <c r="L29" s="88">
        <v>6</v>
      </c>
      <c r="M29" s="89" t="s">
        <v>95</v>
      </c>
      <c r="N29" s="92">
        <f>N28*0.325</f>
        <v>10.380500000000001</v>
      </c>
      <c r="O29" s="98" t="s">
        <v>79</v>
      </c>
    </row>
    <row r="30" spans="1:24" ht="21.75" thickBot="1">
      <c r="A30" s="99" t="s">
        <v>96</v>
      </c>
      <c r="B30" s="100">
        <f>SUM(B22:B29)</f>
        <v>1004.996</v>
      </c>
      <c r="C30" s="100">
        <f>SUM(C22:C29)</f>
        <v>770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-2.4000000015007572E-3</v>
      </c>
      <c r="K30" s="87"/>
      <c r="L30" s="88">
        <v>7</v>
      </c>
      <c r="M30" s="105" t="s">
        <v>98</v>
      </c>
      <c r="N30" s="106">
        <f>J29</f>
        <v>38.5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34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B33:M33"/>
    <mergeCell ref="N33:O37"/>
    <mergeCell ref="B34:M34"/>
    <mergeCell ref="B35:M35"/>
    <mergeCell ref="B36:M36"/>
    <mergeCell ref="B37:M37"/>
    <mergeCell ref="E28:F28"/>
    <mergeCell ref="E29:F29"/>
    <mergeCell ref="E30:F30"/>
    <mergeCell ref="A32:M32"/>
    <mergeCell ref="N32:O3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37"/>
  <sheetViews>
    <sheetView topLeftCell="A6" zoomScale="64" zoomScaleNormal="64" workbookViewId="0">
      <selection activeCell="D20" sqref="D20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108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317.98200000000003</v>
      </c>
      <c r="D6" s="17">
        <v>9.5</v>
      </c>
      <c r="E6" s="18">
        <f>C6+D6</f>
        <v>327.48200000000003</v>
      </c>
      <c r="F6" s="19">
        <f>31/4</f>
        <v>7.75</v>
      </c>
      <c r="G6" s="20"/>
      <c r="H6" s="21"/>
      <c r="I6" s="21"/>
      <c r="J6" s="22">
        <f>E6-F6-G6</f>
        <v>319.73200000000003</v>
      </c>
      <c r="L6" s="173" t="s">
        <v>36</v>
      </c>
      <c r="M6" s="173"/>
      <c r="N6" s="23">
        <f>D6</f>
        <v>9.5</v>
      </c>
      <c r="O6" s="23">
        <f>D7</f>
        <v>0</v>
      </c>
      <c r="P6" s="23">
        <f>D8</f>
        <v>0</v>
      </c>
      <c r="Q6" s="23">
        <f>D9</f>
        <v>0</v>
      </c>
      <c r="R6" s="23">
        <f>D10</f>
        <v>17.5</v>
      </c>
      <c r="S6" s="23">
        <f>D11</f>
        <v>9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36</v>
      </c>
    </row>
    <row r="7" spans="1:27" ht="21">
      <c r="A7" s="15" t="s">
        <v>37</v>
      </c>
      <c r="B7" s="16" t="s">
        <v>25</v>
      </c>
      <c r="C7" s="122">
        <v>163.5</v>
      </c>
      <c r="D7" s="17"/>
      <c r="E7" s="18">
        <f>C7+D7</f>
        <v>163.5</v>
      </c>
      <c r="F7" s="19">
        <v>0</v>
      </c>
      <c r="G7" s="20"/>
      <c r="H7" s="21"/>
      <c r="I7" s="25"/>
      <c r="J7" s="22">
        <f>E7-F7-G7</f>
        <v>163.5</v>
      </c>
      <c r="L7" s="173" t="s">
        <v>38</v>
      </c>
      <c r="M7" s="173"/>
      <c r="N7" s="23">
        <f>F6</f>
        <v>7.75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0</v>
      </c>
      <c r="S7" s="23">
        <f>F11</f>
        <v>12.5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20.25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319.73200000000003</v>
      </c>
      <c r="O9" s="28">
        <f>J7</f>
        <v>163.5</v>
      </c>
      <c r="P9" s="114">
        <f>J8</f>
        <v>138.5</v>
      </c>
      <c r="Q9" s="27">
        <f>J9</f>
        <v>53.120000000000005</v>
      </c>
      <c r="R9" s="27">
        <f>J10</f>
        <v>171.95</v>
      </c>
      <c r="S9" s="30">
        <f>J11</f>
        <v>98.259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967.99599999999987</v>
      </c>
    </row>
    <row r="10" spans="1:27" ht="21">
      <c r="A10" s="15" t="s">
        <v>43</v>
      </c>
      <c r="B10" s="16" t="s">
        <v>28</v>
      </c>
      <c r="C10" s="122">
        <v>154.44999999999999</v>
      </c>
      <c r="D10" s="17">
        <f>9+8.5</f>
        <v>17.5</v>
      </c>
      <c r="E10" s="18">
        <f>C10+D10</f>
        <v>171.95</v>
      </c>
      <c r="F10" s="19"/>
      <c r="G10" s="20"/>
      <c r="H10" s="21"/>
      <c r="I10" s="21"/>
      <c r="J10" s="22">
        <f t="shared" si="0"/>
        <v>171.95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101.759</v>
      </c>
      <c r="D11" s="17">
        <v>9</v>
      </c>
      <c r="E11" s="18">
        <f>C11+D11</f>
        <v>110.759</v>
      </c>
      <c r="F11" s="19">
        <f>(8+36+6)/4</f>
        <v>12.5</v>
      </c>
      <c r="G11" s="20"/>
      <c r="H11" s="21"/>
      <c r="I11" s="21"/>
      <c r="J11" s="22">
        <f>E11-F11-G11</f>
        <v>98.259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3.61</v>
      </c>
      <c r="O12" s="31">
        <f>O6*0.355</f>
        <v>0</v>
      </c>
      <c r="P12" s="31">
        <f>P6*0.35</f>
        <v>0</v>
      </c>
      <c r="Q12" s="31">
        <f>Q6*0.48</f>
        <v>0</v>
      </c>
      <c r="R12" s="31">
        <f>R6*0.47</f>
        <v>8.2249999999999996</v>
      </c>
      <c r="S12" s="31">
        <f>S6*0.435</f>
        <v>3.915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15.75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0.71250000000000002</v>
      </c>
      <c r="O13" s="31">
        <f t="shared" si="2"/>
        <v>0</v>
      </c>
      <c r="P13" s="31">
        <f t="shared" si="2"/>
        <v>0</v>
      </c>
      <c r="Q13" s="31">
        <f t="shared" si="2"/>
        <v>0</v>
      </c>
      <c r="R13" s="31">
        <f t="shared" si="2"/>
        <v>1.3125</v>
      </c>
      <c r="S13" s="31">
        <f t="shared" si="2"/>
        <v>0.67499999999999993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2.6999999999999997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12.35</v>
      </c>
      <c r="O16" s="31">
        <f>O6*1.35</f>
        <v>0</v>
      </c>
      <c r="P16" s="31">
        <f>P6*1.35</f>
        <v>0</v>
      </c>
      <c r="Q16" s="31">
        <f>Q6*1.1</f>
        <v>0</v>
      </c>
      <c r="R16" s="31">
        <f>R6*1.15</f>
        <v>20.125</v>
      </c>
      <c r="S16" s="31">
        <f>S6*1.25</f>
        <v>11.25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43.725000000000001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364.29100000000147</v>
      </c>
      <c r="D19" s="51">
        <v>74.06</v>
      </c>
      <c r="E19" s="52">
        <f>C19+D19</f>
        <v>438.35100000000148</v>
      </c>
      <c r="F19" s="53">
        <f>J29</f>
        <v>82.5</v>
      </c>
      <c r="G19" s="54"/>
      <c r="H19" s="55">
        <v>0</v>
      </c>
      <c r="I19" s="56"/>
      <c r="J19" s="57">
        <f>E19-F19-G19</f>
        <v>355.85100000000148</v>
      </c>
      <c r="L19" s="58" t="s">
        <v>61</v>
      </c>
      <c r="M19" s="58"/>
      <c r="N19" s="31">
        <f>N6*4</f>
        <v>38</v>
      </c>
      <c r="O19" s="59">
        <f t="shared" ref="O19:W19" si="4">O6*4</f>
        <v>0</v>
      </c>
      <c r="P19" s="59">
        <f t="shared" si="4"/>
        <v>0</v>
      </c>
      <c r="Q19" s="59">
        <f t="shared" si="4"/>
        <v>0</v>
      </c>
      <c r="R19" s="59">
        <f t="shared" si="4"/>
        <v>70</v>
      </c>
      <c r="S19" s="59">
        <f t="shared" si="4"/>
        <v>36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144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187.85100000000148</v>
      </c>
      <c r="L21" s="58" t="s">
        <v>69</v>
      </c>
      <c r="M21" s="58"/>
      <c r="N21" s="31">
        <f>N6*3</f>
        <v>28.5</v>
      </c>
      <c r="O21" s="31">
        <f>O6*2.2</f>
        <v>0</v>
      </c>
      <c r="P21" s="31">
        <f t="shared" ref="P21:W21" si="5">P6*2.2</f>
        <v>0</v>
      </c>
      <c r="Q21" s="31">
        <f t="shared" si="5"/>
        <v>0</v>
      </c>
      <c r="R21" s="31">
        <f t="shared" si="5"/>
        <v>38.5</v>
      </c>
      <c r="S21" s="31">
        <f t="shared" si="5"/>
        <v>19.8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86.8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75</v>
      </c>
      <c r="H22" s="82">
        <f>G22*6</f>
        <v>450</v>
      </c>
      <c r="I22" s="83">
        <f>H22*0.115</f>
        <v>51.75</v>
      </c>
      <c r="J22" s="84">
        <f>I22*1.16</f>
        <v>60.029999999999994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163.5</v>
      </c>
      <c r="C23" s="79">
        <v>150</v>
      </c>
      <c r="D23" s="80">
        <v>2.5</v>
      </c>
      <c r="E23" s="143" t="s">
        <v>74</v>
      </c>
      <c r="F23" s="144"/>
      <c r="G23" s="81">
        <v>18</v>
      </c>
      <c r="H23" s="82">
        <f>G23*6</f>
        <v>108</v>
      </c>
      <c r="I23" s="83">
        <f>H23*0.115</f>
        <v>12.42</v>
      </c>
      <c r="J23" s="84">
        <f>I23*1.16</f>
        <v>14.4072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319.73200000000003</v>
      </c>
      <c r="C24" s="79">
        <v>280</v>
      </c>
      <c r="D24" s="80">
        <v>20</v>
      </c>
      <c r="E24" s="143" t="s">
        <v>77</v>
      </c>
      <c r="F24" s="144"/>
      <c r="G24" s="86">
        <v>30</v>
      </c>
      <c r="H24" s="82">
        <f>G24*6</f>
        <v>180</v>
      </c>
      <c r="I24" s="83">
        <f>H24*0.115</f>
        <v>20.7</v>
      </c>
      <c r="J24" s="84">
        <f>I24*1.16</f>
        <v>24.011999999999997</v>
      </c>
      <c r="K24" s="87"/>
      <c r="L24" s="88">
        <v>1</v>
      </c>
      <c r="M24" s="89" t="s">
        <v>78</v>
      </c>
      <c r="N24" s="90">
        <f>X6</f>
        <v>36</v>
      </c>
      <c r="O24" s="91" t="s">
        <v>79</v>
      </c>
    </row>
    <row r="25" spans="1:24" ht="21.75" customHeight="1">
      <c r="A25" s="77" t="s">
        <v>80</v>
      </c>
      <c r="B25" s="78">
        <f>S9</f>
        <v>98.259</v>
      </c>
      <c r="C25" s="79">
        <v>70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20.25</v>
      </c>
      <c r="O25" s="91" t="s">
        <v>79</v>
      </c>
    </row>
    <row r="26" spans="1:24" ht="21" customHeight="1">
      <c r="A26" s="77" t="s">
        <v>83</v>
      </c>
      <c r="B26" s="78">
        <f>R9</f>
        <v>171.95</v>
      </c>
      <c r="C26" s="79">
        <v>80</v>
      </c>
      <c r="D26" s="80">
        <v>60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967.99599999999987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700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150</v>
      </c>
      <c r="J28" s="126">
        <f>(G28*0.55)</f>
        <v>82.5</v>
      </c>
      <c r="L28" s="88">
        <v>5</v>
      </c>
      <c r="M28" s="89" t="s">
        <v>92</v>
      </c>
      <c r="N28" s="92">
        <f>D19</f>
        <v>74.06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150</v>
      </c>
      <c r="H29" s="82">
        <f>G29*6</f>
        <v>900</v>
      </c>
      <c r="I29" s="83"/>
      <c r="J29" s="126">
        <f>SUM(J27:J28)</f>
        <v>82.5</v>
      </c>
      <c r="L29" s="88">
        <v>6</v>
      </c>
      <c r="M29" s="89" t="s">
        <v>95</v>
      </c>
      <c r="N29" s="92">
        <f>N28*0.325</f>
        <v>24.069500000000001</v>
      </c>
      <c r="O29" s="98" t="s">
        <v>79</v>
      </c>
    </row>
    <row r="30" spans="1:24" ht="21.75" thickBot="1">
      <c r="A30" s="99" t="s">
        <v>96</v>
      </c>
      <c r="B30" s="100">
        <f>SUM(B22:B29)</f>
        <v>967.99599999999998</v>
      </c>
      <c r="C30" s="100">
        <f>SUM(C22:C29)</f>
        <v>700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-1.8000000014808393E-3</v>
      </c>
      <c r="K30" s="87"/>
      <c r="L30" s="88">
        <v>7</v>
      </c>
      <c r="M30" s="105" t="s">
        <v>98</v>
      </c>
      <c r="N30" s="106">
        <f>J29</f>
        <v>82.5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33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37"/>
  <sheetViews>
    <sheetView topLeftCell="A7" zoomScale="64" zoomScaleNormal="64" workbookViewId="0">
      <selection activeCell="M19" sqref="M19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107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307.98200000000003</v>
      </c>
      <c r="D6" s="17">
        <v>10</v>
      </c>
      <c r="E6" s="18">
        <f>C6+D6</f>
        <v>317.98200000000003</v>
      </c>
      <c r="F6" s="19">
        <v>0</v>
      </c>
      <c r="G6" s="20"/>
      <c r="H6" s="21"/>
      <c r="I6" s="21"/>
      <c r="J6" s="22">
        <f>E6-F6-G6</f>
        <v>317.98200000000003</v>
      </c>
      <c r="L6" s="173" t="s">
        <v>36</v>
      </c>
      <c r="M6" s="173"/>
      <c r="N6" s="23">
        <f>D6</f>
        <v>10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9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37</v>
      </c>
    </row>
    <row r="7" spans="1:27" ht="21">
      <c r="A7" s="15" t="s">
        <v>37</v>
      </c>
      <c r="B7" s="16" t="s">
        <v>25</v>
      </c>
      <c r="C7" s="122">
        <v>153.5</v>
      </c>
      <c r="D7" s="17">
        <v>10</v>
      </c>
      <c r="E7" s="18">
        <f>C7+D7</f>
        <v>163.5</v>
      </c>
      <c r="F7" s="19">
        <v>0</v>
      </c>
      <c r="G7" s="20"/>
      <c r="H7" s="21"/>
      <c r="I7" s="25"/>
      <c r="J7" s="22">
        <f>E7-F7-G7</f>
        <v>163.5</v>
      </c>
      <c r="L7" s="173" t="s">
        <v>38</v>
      </c>
      <c r="M7" s="173"/>
      <c r="N7" s="23">
        <f>F6</f>
        <v>0</v>
      </c>
      <c r="O7" s="23">
        <f>F7</f>
        <v>0</v>
      </c>
      <c r="P7" s="23">
        <f>F8</f>
        <v>0</v>
      </c>
      <c r="Q7" s="23">
        <f>F9</f>
        <v>0</v>
      </c>
      <c r="R7" s="23">
        <f>F10</f>
        <v>9</v>
      </c>
      <c r="S7" s="23">
        <f>F11</f>
        <v>0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9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317.98200000000003</v>
      </c>
      <c r="O9" s="28">
        <f>J7</f>
        <v>163.5</v>
      </c>
      <c r="P9" s="114">
        <f>J8</f>
        <v>138.5</v>
      </c>
      <c r="Q9" s="27">
        <f>J9</f>
        <v>53.120000000000005</v>
      </c>
      <c r="R9" s="27">
        <f>J10</f>
        <v>154.44999999999999</v>
      </c>
      <c r="S9" s="30">
        <f>J11</f>
        <v>101.759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952.24599999999987</v>
      </c>
    </row>
    <row r="10" spans="1:27" ht="21">
      <c r="A10" s="15" t="s">
        <v>43</v>
      </c>
      <c r="B10" s="16" t="s">
        <v>28</v>
      </c>
      <c r="C10" s="122">
        <v>155.44999999999999</v>
      </c>
      <c r="D10" s="17">
        <v>8</v>
      </c>
      <c r="E10" s="18">
        <f>C10+D10</f>
        <v>163.44999999999999</v>
      </c>
      <c r="F10" s="19">
        <v>9</v>
      </c>
      <c r="G10" s="20"/>
      <c r="H10" s="21"/>
      <c r="I10" s="21"/>
      <c r="J10" s="22">
        <f t="shared" si="0"/>
        <v>154.44999999999999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92.759</v>
      </c>
      <c r="D11" s="17">
        <v>9</v>
      </c>
      <c r="E11" s="18">
        <f>C11+D11</f>
        <v>101.759</v>
      </c>
      <c r="F11" s="19">
        <v>0</v>
      </c>
      <c r="G11" s="20"/>
      <c r="H11" s="21"/>
      <c r="I11" s="21"/>
      <c r="J11" s="22">
        <f>E11-F11-G11</f>
        <v>101.759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3.8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3.915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15.024999999999999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0.75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0.67499999999999993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2.7749999999999999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13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11.25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46.95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345.78100000000148</v>
      </c>
      <c r="D19" s="51">
        <v>68.010000000000005</v>
      </c>
      <c r="E19" s="52">
        <f>C19+D19</f>
        <v>413.79100000000147</v>
      </c>
      <c r="F19" s="53">
        <f>J29</f>
        <v>49.500000000000007</v>
      </c>
      <c r="G19" s="54"/>
      <c r="H19" s="55">
        <v>0</v>
      </c>
      <c r="I19" s="56"/>
      <c r="J19" s="57">
        <f>E19-F19-G19</f>
        <v>364.29100000000147</v>
      </c>
      <c r="L19" s="58" t="s">
        <v>61</v>
      </c>
      <c r="M19" s="58"/>
      <c r="N19" s="31">
        <f>N6*4</f>
        <v>40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36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148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196.29100000000147</v>
      </c>
      <c r="L21" s="58" t="s">
        <v>69</v>
      </c>
      <c r="M21" s="58"/>
      <c r="N21" s="31">
        <f>N6*3</f>
        <v>30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19.8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89.399999999999991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68</v>
      </c>
      <c r="H22" s="82">
        <f>G22*6</f>
        <v>408</v>
      </c>
      <c r="I22" s="83">
        <f>H22*0.115</f>
        <v>46.92</v>
      </c>
      <c r="J22" s="84">
        <f>I22*1.16</f>
        <v>54.427199999999999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163.5</v>
      </c>
      <c r="C23" s="79">
        <v>150</v>
      </c>
      <c r="D23" s="80">
        <v>2.5</v>
      </c>
      <c r="E23" s="143" t="s">
        <v>74</v>
      </c>
      <c r="F23" s="144"/>
      <c r="G23" s="81">
        <v>36</v>
      </c>
      <c r="H23" s="82">
        <f>G23*6</f>
        <v>216</v>
      </c>
      <c r="I23" s="83">
        <f>H23*0.115</f>
        <v>24.84</v>
      </c>
      <c r="J23" s="84">
        <f>I23*1.16</f>
        <v>28.814399999999999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317.98200000000003</v>
      </c>
      <c r="C24" s="79">
        <v>280</v>
      </c>
      <c r="D24" s="80">
        <v>20</v>
      </c>
      <c r="E24" s="143" t="s">
        <v>77</v>
      </c>
      <c r="F24" s="144"/>
      <c r="G24" s="86">
        <v>60</v>
      </c>
      <c r="H24" s="82">
        <f>G24*6</f>
        <v>360</v>
      </c>
      <c r="I24" s="83">
        <f>H24*0.115</f>
        <v>41.4</v>
      </c>
      <c r="J24" s="84">
        <f>I24*1.16</f>
        <v>48.023999999999994</v>
      </c>
      <c r="K24" s="87"/>
      <c r="L24" s="88">
        <v>1</v>
      </c>
      <c r="M24" s="89" t="s">
        <v>78</v>
      </c>
      <c r="N24" s="90">
        <f>X6</f>
        <v>37</v>
      </c>
      <c r="O24" s="91" t="s">
        <v>79</v>
      </c>
    </row>
    <row r="25" spans="1:24" ht="21.75" customHeight="1">
      <c r="A25" s="77" t="s">
        <v>80</v>
      </c>
      <c r="B25" s="78">
        <f>S9</f>
        <v>101.759</v>
      </c>
      <c r="C25" s="79">
        <v>70</v>
      </c>
      <c r="D25" s="80">
        <v>45</v>
      </c>
      <c r="E25" s="143" t="s">
        <v>81</v>
      </c>
      <c r="F25" s="144"/>
      <c r="G25" s="81">
        <v>20</v>
      </c>
      <c r="I25" s="83"/>
      <c r="J25" s="84">
        <f>G25*0.15*1.15</f>
        <v>3.4499999999999997</v>
      </c>
      <c r="K25" s="87"/>
      <c r="L25" s="88">
        <v>2</v>
      </c>
      <c r="M25" s="89" t="s">
        <v>82</v>
      </c>
      <c r="N25" s="92">
        <f>X7+X8</f>
        <v>9</v>
      </c>
      <c r="O25" s="91" t="s">
        <v>79</v>
      </c>
    </row>
    <row r="26" spans="1:24" ht="21" customHeight="1">
      <c r="A26" s="77" t="s">
        <v>83</v>
      </c>
      <c r="B26" s="78">
        <f>R9</f>
        <v>154.44999999999999</v>
      </c>
      <c r="C26" s="79">
        <v>80</v>
      </c>
      <c r="D26" s="80">
        <v>60</v>
      </c>
      <c r="E26" s="143" t="s">
        <v>84</v>
      </c>
      <c r="F26" s="144"/>
      <c r="G26" s="86">
        <v>70</v>
      </c>
      <c r="I26" s="83"/>
      <c r="J26" s="84">
        <f>G26*0.15*1.15</f>
        <v>12.074999999999999</v>
      </c>
      <c r="L26" s="88">
        <v>3</v>
      </c>
      <c r="M26" s="89" t="s">
        <v>85</v>
      </c>
      <c r="N26" s="92">
        <f>X9</f>
        <v>952.24599999999987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700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90</v>
      </c>
      <c r="J28" s="126">
        <f>(G28*0.55)</f>
        <v>49.500000000000007</v>
      </c>
      <c r="L28" s="88">
        <v>5</v>
      </c>
      <c r="M28" s="89" t="s">
        <v>92</v>
      </c>
      <c r="N28" s="92">
        <f>D19</f>
        <v>68.010000000000005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90</v>
      </c>
      <c r="H29" s="82">
        <f>G29*6</f>
        <v>540</v>
      </c>
      <c r="I29" s="83"/>
      <c r="J29" s="126">
        <f>SUM(J27:J28)</f>
        <v>49.500000000000007</v>
      </c>
      <c r="L29" s="88">
        <v>6</v>
      </c>
      <c r="M29" s="89" t="s">
        <v>95</v>
      </c>
      <c r="N29" s="92">
        <f>N28*0.325</f>
        <v>22.103250000000003</v>
      </c>
      <c r="O29" s="98" t="s">
        <v>79</v>
      </c>
    </row>
    <row r="30" spans="1:24" ht="21.75" thickBot="1">
      <c r="A30" s="99" t="s">
        <v>96</v>
      </c>
      <c r="B30" s="100">
        <f>SUM(B22:B29)</f>
        <v>952.24599999999998</v>
      </c>
      <c r="C30" s="100">
        <f>SUM(C22:C29)</f>
        <v>700</v>
      </c>
      <c r="D30" s="113">
        <f>SUM(D23:D29)</f>
        <v>166.75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-4.0000000149120751E-4</v>
      </c>
      <c r="K30" s="87"/>
      <c r="L30" s="88">
        <v>7</v>
      </c>
      <c r="M30" s="105" t="s">
        <v>98</v>
      </c>
      <c r="N30" s="106">
        <f>J29</f>
        <v>49.500000000000007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32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7"/>
  <sheetViews>
    <sheetView topLeftCell="A13" zoomScale="64" zoomScaleNormal="64" workbookViewId="0">
      <selection activeCell="E26" sqref="E26:F26"/>
    </sheetView>
  </sheetViews>
  <sheetFormatPr defaultColWidth="11.42578125" defaultRowHeight="15"/>
  <cols>
    <col min="1" max="1" width="16.85546875" style="1" customWidth="1"/>
    <col min="2" max="2" width="12.5703125" style="1" customWidth="1"/>
    <col min="3" max="3" width="14" style="1" customWidth="1"/>
    <col min="4" max="4" width="12.7109375" style="1" customWidth="1"/>
    <col min="5" max="5" width="14.5703125" style="1" customWidth="1"/>
    <col min="6" max="6" width="12.28515625" style="1" bestFit="1" customWidth="1"/>
    <col min="7" max="7" width="10.85546875" style="1" customWidth="1"/>
    <col min="8" max="8" width="11.140625" style="1" hidden="1" customWidth="1"/>
    <col min="9" max="9" width="0.28515625" style="1" customWidth="1"/>
    <col min="10" max="10" width="17.140625" style="1" customWidth="1"/>
    <col min="11" max="11" width="3.85546875" style="2" customWidth="1"/>
    <col min="12" max="12" width="11.42578125" style="1" customWidth="1"/>
    <col min="13" max="13" width="38.28515625" style="1" customWidth="1"/>
    <col min="14" max="14" width="12.5703125" style="1" bestFit="1" customWidth="1"/>
    <col min="15" max="15" width="14.42578125" style="1" customWidth="1"/>
    <col min="16" max="16" width="13.28515625" style="1" customWidth="1"/>
    <col min="17" max="17" width="12" style="1" customWidth="1"/>
    <col min="18" max="18" width="12.5703125" style="1" bestFit="1" customWidth="1"/>
    <col min="19" max="19" width="12.28515625" style="1" customWidth="1"/>
    <col min="20" max="22" width="11.42578125" style="1" customWidth="1"/>
    <col min="23" max="23" width="13.42578125" style="1" customWidth="1"/>
    <col min="24" max="24" width="12.28515625" style="1" bestFit="1" customWidth="1"/>
    <col min="25" max="16384" width="11.42578125" style="1"/>
  </cols>
  <sheetData>
    <row r="1" spans="1:27" ht="24" thickBot="1">
      <c r="A1" s="1" t="s">
        <v>0</v>
      </c>
      <c r="B1" s="176" t="s">
        <v>1</v>
      </c>
      <c r="C1" s="176"/>
      <c r="D1" s="176"/>
      <c r="E1" s="176"/>
      <c r="F1" s="176"/>
      <c r="G1" s="176"/>
      <c r="H1" s="176"/>
      <c r="I1" s="176"/>
      <c r="J1" s="176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7" ht="21.75" thickBot="1">
      <c r="A2" s="5" t="s">
        <v>2</v>
      </c>
      <c r="B2" s="6"/>
      <c r="C2" s="6"/>
      <c r="D2" s="6"/>
      <c r="E2" s="6"/>
      <c r="F2" s="6"/>
      <c r="G2" s="7"/>
      <c r="H2" s="6"/>
      <c r="I2" s="6"/>
      <c r="J2" s="8" t="s">
        <v>106</v>
      </c>
      <c r="L2" s="177" t="s">
        <v>3</v>
      </c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</row>
    <row r="3" spans="1:27" ht="15" customHeight="1">
      <c r="A3" s="178" t="s">
        <v>4</v>
      </c>
      <c r="B3" s="181" t="s">
        <v>5</v>
      </c>
      <c r="C3" s="184" t="s">
        <v>6</v>
      </c>
      <c r="D3" s="187" t="s">
        <v>7</v>
      </c>
      <c r="E3" s="190" t="s">
        <v>8</v>
      </c>
      <c r="F3" s="193" t="s">
        <v>9</v>
      </c>
      <c r="G3" s="194"/>
      <c r="H3" s="197" t="s">
        <v>10</v>
      </c>
      <c r="I3" s="198"/>
      <c r="J3" s="199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</row>
    <row r="4" spans="1:27" ht="15.75" customHeight="1" thickBot="1">
      <c r="A4" s="179"/>
      <c r="B4" s="182"/>
      <c r="C4" s="185"/>
      <c r="D4" s="188"/>
      <c r="E4" s="191"/>
      <c r="F4" s="195"/>
      <c r="G4" s="196"/>
      <c r="H4" s="200"/>
      <c r="I4" s="201"/>
      <c r="J4" s="202"/>
      <c r="L4" s="169" t="s">
        <v>11</v>
      </c>
      <c r="M4" s="170"/>
      <c r="N4" s="9" t="s">
        <v>12</v>
      </c>
      <c r="O4" s="9" t="s">
        <v>13</v>
      </c>
      <c r="P4" s="9" t="s">
        <v>14</v>
      </c>
      <c r="Q4" s="9" t="s">
        <v>15</v>
      </c>
      <c r="R4" s="9" t="s">
        <v>16</v>
      </c>
      <c r="S4" s="9" t="s">
        <v>17</v>
      </c>
      <c r="T4" s="9" t="s">
        <v>18</v>
      </c>
      <c r="U4" s="9" t="s">
        <v>19</v>
      </c>
      <c r="V4" s="9" t="s">
        <v>20</v>
      </c>
      <c r="W4" s="9" t="s">
        <v>21</v>
      </c>
      <c r="X4" s="10"/>
    </row>
    <row r="5" spans="1:27" ht="42.75" customHeight="1" thickBot="1">
      <c r="A5" s="180"/>
      <c r="B5" s="183"/>
      <c r="C5" s="186"/>
      <c r="D5" s="189"/>
      <c r="E5" s="192"/>
      <c r="F5" s="11" t="s">
        <v>22</v>
      </c>
      <c r="G5" s="12" t="s">
        <v>23</v>
      </c>
      <c r="H5" s="203"/>
      <c r="I5" s="204"/>
      <c r="J5" s="205"/>
      <c r="L5" s="171"/>
      <c r="M5" s="172"/>
      <c r="N5" s="13" t="s">
        <v>24</v>
      </c>
      <c r="O5" s="13" t="s">
        <v>25</v>
      </c>
      <c r="P5" s="13" t="s">
        <v>26</v>
      </c>
      <c r="Q5" s="13" t="s">
        <v>27</v>
      </c>
      <c r="R5" s="13" t="s">
        <v>28</v>
      </c>
      <c r="S5" s="13" t="s">
        <v>29</v>
      </c>
      <c r="T5" s="13" t="s">
        <v>30</v>
      </c>
      <c r="U5" s="13" t="s">
        <v>31</v>
      </c>
      <c r="V5" s="13" t="s">
        <v>32</v>
      </c>
      <c r="W5" s="13" t="s">
        <v>33</v>
      </c>
      <c r="X5" s="14" t="s">
        <v>34</v>
      </c>
    </row>
    <row r="6" spans="1:27" ht="26.25" customHeight="1">
      <c r="A6" s="15" t="s">
        <v>35</v>
      </c>
      <c r="B6" s="16" t="s">
        <v>24</v>
      </c>
      <c r="C6" s="122">
        <v>312.73200000000003</v>
      </c>
      <c r="D6" s="17">
        <v>19</v>
      </c>
      <c r="E6" s="18">
        <f>C6+D6</f>
        <v>331.73200000000003</v>
      </c>
      <c r="F6" s="19">
        <v>23.75</v>
      </c>
      <c r="G6" s="20"/>
      <c r="H6" s="21"/>
      <c r="I6" s="21"/>
      <c r="J6" s="22">
        <f>E6-F6-G6</f>
        <v>307.98200000000003</v>
      </c>
      <c r="L6" s="173" t="s">
        <v>36</v>
      </c>
      <c r="M6" s="173"/>
      <c r="N6" s="23">
        <f>D6</f>
        <v>19</v>
      </c>
      <c r="O6" s="23">
        <f>D7</f>
        <v>10</v>
      </c>
      <c r="P6" s="23">
        <f>D8</f>
        <v>0</v>
      </c>
      <c r="Q6" s="23">
        <f>D9</f>
        <v>0</v>
      </c>
      <c r="R6" s="23">
        <f>D10</f>
        <v>8</v>
      </c>
      <c r="S6" s="23">
        <f>D11</f>
        <v>0</v>
      </c>
      <c r="T6" s="23">
        <f>D12</f>
        <v>0</v>
      </c>
      <c r="U6" s="23">
        <f>D14</f>
        <v>0</v>
      </c>
      <c r="V6" s="24">
        <f>D15</f>
        <v>0</v>
      </c>
      <c r="W6" s="23">
        <f>D16</f>
        <v>0</v>
      </c>
      <c r="X6" s="115">
        <f>SUM(N6:W6)</f>
        <v>37</v>
      </c>
    </row>
    <row r="7" spans="1:27" ht="21">
      <c r="A7" s="15" t="s">
        <v>37</v>
      </c>
      <c r="B7" s="16" t="s">
        <v>25</v>
      </c>
      <c r="C7" s="122">
        <v>144.5</v>
      </c>
      <c r="D7" s="17">
        <v>10</v>
      </c>
      <c r="E7" s="18">
        <f>C7+D7</f>
        <v>154.5</v>
      </c>
      <c r="F7" s="19">
        <v>1</v>
      </c>
      <c r="G7" s="20"/>
      <c r="H7" s="21"/>
      <c r="I7" s="25"/>
      <c r="J7" s="22">
        <f>E7-F7-G7</f>
        <v>153.5</v>
      </c>
      <c r="L7" s="173" t="s">
        <v>38</v>
      </c>
      <c r="M7" s="173"/>
      <c r="N7" s="23">
        <f>F6</f>
        <v>23.75</v>
      </c>
      <c r="O7" s="23">
        <f>F7</f>
        <v>1</v>
      </c>
      <c r="P7" s="23">
        <f>F8</f>
        <v>0</v>
      </c>
      <c r="Q7" s="23">
        <f>F9</f>
        <v>0</v>
      </c>
      <c r="R7" s="23">
        <f>F10</f>
        <v>25.5</v>
      </c>
      <c r="S7" s="23">
        <f>F11</f>
        <v>11.75</v>
      </c>
      <c r="T7" s="23">
        <f>F12</f>
        <v>0</v>
      </c>
      <c r="U7" s="23">
        <f>F14</f>
        <v>0</v>
      </c>
      <c r="V7" s="23">
        <f>F15</f>
        <v>0</v>
      </c>
      <c r="W7" s="23">
        <f>F16</f>
        <v>0</v>
      </c>
      <c r="X7" s="115">
        <f>SUM(N7:W7)</f>
        <v>62</v>
      </c>
    </row>
    <row r="8" spans="1:27" ht="21">
      <c r="A8" s="15" t="s">
        <v>39</v>
      </c>
      <c r="B8" s="16" t="s">
        <v>26</v>
      </c>
      <c r="C8" s="122">
        <v>138.5</v>
      </c>
      <c r="D8" s="17"/>
      <c r="E8" s="18">
        <f>C8+D8</f>
        <v>138.5</v>
      </c>
      <c r="F8" s="19">
        <v>0</v>
      </c>
      <c r="G8" s="20"/>
      <c r="H8" s="21"/>
      <c r="I8" s="25"/>
      <c r="J8" s="22">
        <f t="shared" ref="J8:J12" si="0">E8-F8-G8</f>
        <v>138.5</v>
      </c>
      <c r="L8" s="173" t="s">
        <v>40</v>
      </c>
      <c r="M8" s="173"/>
      <c r="N8" s="26">
        <f>G6</f>
        <v>0</v>
      </c>
      <c r="O8" s="26">
        <f>G7</f>
        <v>0</v>
      </c>
      <c r="P8" s="26">
        <f>G8</f>
        <v>0</v>
      </c>
      <c r="Q8" s="26">
        <f>G9</f>
        <v>0</v>
      </c>
      <c r="R8" s="26">
        <f>G10</f>
        <v>0</v>
      </c>
      <c r="S8" s="26">
        <f>G11</f>
        <v>0</v>
      </c>
      <c r="T8" s="26">
        <f>G12</f>
        <v>0</v>
      </c>
      <c r="U8" s="26">
        <f>G14</f>
        <v>0</v>
      </c>
      <c r="V8" s="26">
        <f>G15</f>
        <v>0</v>
      </c>
      <c r="W8" s="26">
        <f>G16</f>
        <v>0</v>
      </c>
      <c r="X8" s="115">
        <f>SUM(N8:W8)</f>
        <v>0</v>
      </c>
    </row>
    <row r="9" spans="1:27" ht="21">
      <c r="A9" s="15" t="s">
        <v>41</v>
      </c>
      <c r="B9" s="16" t="s">
        <v>27</v>
      </c>
      <c r="C9" s="122">
        <v>53.120000000000005</v>
      </c>
      <c r="D9" s="17"/>
      <c r="E9" s="18">
        <f t="shared" ref="E9:E18" si="1">C9+D9</f>
        <v>53.120000000000005</v>
      </c>
      <c r="F9" s="19">
        <v>0</v>
      </c>
      <c r="G9" s="20"/>
      <c r="H9" s="21"/>
      <c r="I9" s="21"/>
      <c r="J9" s="22">
        <f t="shared" si="0"/>
        <v>53.120000000000005</v>
      </c>
      <c r="L9" s="174" t="s">
        <v>42</v>
      </c>
      <c r="M9" s="174"/>
      <c r="N9" s="27">
        <f>J6</f>
        <v>307.98200000000003</v>
      </c>
      <c r="O9" s="28">
        <f>J7</f>
        <v>153.5</v>
      </c>
      <c r="P9" s="114">
        <f>J8</f>
        <v>138.5</v>
      </c>
      <c r="Q9" s="27">
        <f>J9</f>
        <v>53.120000000000005</v>
      </c>
      <c r="R9" s="27">
        <f>J10</f>
        <v>155.44999999999999</v>
      </c>
      <c r="S9" s="30">
        <f>J11</f>
        <v>92.759</v>
      </c>
      <c r="T9" s="29">
        <f>J12</f>
        <v>15.25</v>
      </c>
      <c r="U9" s="30">
        <f>J14</f>
        <v>0</v>
      </c>
      <c r="V9" s="30">
        <f>J15</f>
        <v>0</v>
      </c>
      <c r="W9" s="27">
        <v>7.6849999999999996</v>
      </c>
      <c r="X9" s="121">
        <f>SUM(N9:W9)</f>
        <v>924.24599999999987</v>
      </c>
    </row>
    <row r="10" spans="1:27" ht="21">
      <c r="A10" s="15" t="s">
        <v>43</v>
      </c>
      <c r="B10" s="16" t="s">
        <v>28</v>
      </c>
      <c r="C10" s="122">
        <v>172.95</v>
      </c>
      <c r="D10" s="17">
        <v>8</v>
      </c>
      <c r="E10" s="18">
        <f>C10+D10</f>
        <v>180.95</v>
      </c>
      <c r="F10" s="19">
        <v>25.5</v>
      </c>
      <c r="G10" s="20"/>
      <c r="H10" s="21"/>
      <c r="I10" s="21"/>
      <c r="J10" s="22">
        <f t="shared" si="0"/>
        <v>155.44999999999999</v>
      </c>
      <c r="L10" s="175" t="s">
        <v>44</v>
      </c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</row>
    <row r="11" spans="1:27" ht="21">
      <c r="A11" s="15" t="s">
        <v>45</v>
      </c>
      <c r="B11" s="16" t="s">
        <v>29</v>
      </c>
      <c r="C11" s="122">
        <v>104.509</v>
      </c>
      <c r="D11" s="17">
        <v>0</v>
      </c>
      <c r="E11" s="18">
        <f>C11+D11</f>
        <v>104.509</v>
      </c>
      <c r="F11" s="19">
        <v>11.75</v>
      </c>
      <c r="G11" s="20"/>
      <c r="H11" s="21"/>
      <c r="I11" s="21"/>
      <c r="J11" s="22">
        <f>E11-F11-G11</f>
        <v>92.759</v>
      </c>
      <c r="L11" s="160" t="s">
        <v>46</v>
      </c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2"/>
    </row>
    <row r="12" spans="1:27" ht="20.25" customHeight="1">
      <c r="A12" s="15" t="s">
        <v>47</v>
      </c>
      <c r="B12" s="16" t="s">
        <v>30</v>
      </c>
      <c r="C12" s="122">
        <v>15.25</v>
      </c>
      <c r="D12" s="17"/>
      <c r="E12" s="18">
        <f t="shared" si="1"/>
        <v>15.25</v>
      </c>
      <c r="F12" s="19"/>
      <c r="G12" s="20"/>
      <c r="H12" s="21" t="s">
        <v>48</v>
      </c>
      <c r="I12" s="25"/>
      <c r="J12" s="22">
        <f t="shared" si="0"/>
        <v>15.25</v>
      </c>
      <c r="L12" s="163" t="s">
        <v>49</v>
      </c>
      <c r="M12" s="163"/>
      <c r="N12" s="31">
        <f>N6*0.38</f>
        <v>7.22</v>
      </c>
      <c r="O12" s="31">
        <f>O6*0.355</f>
        <v>3.55</v>
      </c>
      <c r="P12" s="31">
        <f>P6*0.35</f>
        <v>0</v>
      </c>
      <c r="Q12" s="31">
        <f>Q6*0.48</f>
        <v>0</v>
      </c>
      <c r="R12" s="31">
        <f>R6*0.47</f>
        <v>3.76</v>
      </c>
      <c r="S12" s="31">
        <f>S6*0.435</f>
        <v>0</v>
      </c>
      <c r="T12" s="31">
        <f>T6*0.58</f>
        <v>0</v>
      </c>
      <c r="U12" s="31">
        <f>U6*0.39</f>
        <v>0</v>
      </c>
      <c r="V12" s="31">
        <f>V6*0.48</f>
        <v>0</v>
      </c>
      <c r="W12" s="31">
        <f>W6*0.48</f>
        <v>0</v>
      </c>
      <c r="X12" s="116">
        <f>SUM(N12:W12)</f>
        <v>14.53</v>
      </c>
    </row>
    <row r="13" spans="1:27" ht="16.5" customHeight="1">
      <c r="A13" s="32"/>
      <c r="B13" s="33"/>
      <c r="C13" s="34"/>
      <c r="D13" s="34"/>
      <c r="E13" s="34"/>
      <c r="F13" s="34"/>
      <c r="G13" s="34"/>
      <c r="H13" s="34"/>
      <c r="I13" s="34"/>
      <c r="J13" s="34"/>
      <c r="L13" s="35" t="s">
        <v>50</v>
      </c>
      <c r="M13" s="35"/>
      <c r="N13" s="31">
        <f t="shared" ref="N13:S13" si="2">N6*0.075</f>
        <v>1.425</v>
      </c>
      <c r="O13" s="31">
        <f t="shared" si="2"/>
        <v>0.75</v>
      </c>
      <c r="P13" s="31">
        <f t="shared" si="2"/>
        <v>0</v>
      </c>
      <c r="Q13" s="31">
        <f t="shared" si="2"/>
        <v>0</v>
      </c>
      <c r="R13" s="31">
        <f t="shared" si="2"/>
        <v>0.6</v>
      </c>
      <c r="S13" s="31">
        <f t="shared" si="2"/>
        <v>0</v>
      </c>
      <c r="T13" s="31">
        <v>0</v>
      </c>
      <c r="U13" s="31">
        <f>U6*0.075</f>
        <v>0</v>
      </c>
      <c r="V13" s="31">
        <f>V6*0.075</f>
        <v>0</v>
      </c>
      <c r="W13" s="31">
        <f>W6*0.075</f>
        <v>0</v>
      </c>
      <c r="X13" s="117">
        <f>SUM(N13:W13)</f>
        <v>2.7749999999999999</v>
      </c>
    </row>
    <row r="14" spans="1:27" ht="20.25" hidden="1" customHeight="1">
      <c r="A14" s="15" t="s">
        <v>51</v>
      </c>
      <c r="B14" s="16" t="s">
        <v>31</v>
      </c>
      <c r="C14" s="122">
        <v>0</v>
      </c>
      <c r="D14" s="17"/>
      <c r="E14" s="18">
        <f t="shared" si="1"/>
        <v>0</v>
      </c>
      <c r="F14" s="19"/>
      <c r="G14" s="20"/>
      <c r="H14" s="21"/>
      <c r="I14" s="21"/>
      <c r="J14" s="22">
        <f>E14-F14-G14</f>
        <v>0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18"/>
      <c r="Z14" s="37"/>
    </row>
    <row r="15" spans="1:27" ht="23.25" hidden="1" customHeight="1">
      <c r="A15" s="15" t="s">
        <v>52</v>
      </c>
      <c r="B15" s="16" t="s">
        <v>32</v>
      </c>
      <c r="C15" s="122">
        <v>0</v>
      </c>
      <c r="D15" s="17"/>
      <c r="E15" s="38">
        <f>C15+D15</f>
        <v>0</v>
      </c>
      <c r="F15" s="19"/>
      <c r="G15" s="20"/>
      <c r="H15" s="21"/>
      <c r="I15" s="21"/>
      <c r="J15" s="22">
        <f t="shared" ref="J15:J20" si="3">E15-F15-G15</f>
        <v>0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18"/>
      <c r="Y15" s="39"/>
      <c r="Z15" s="39"/>
      <c r="AA15" s="39"/>
    </row>
    <row r="16" spans="1:27" ht="24.75" customHeight="1" thickBot="1">
      <c r="A16" s="15" t="s">
        <v>53</v>
      </c>
      <c r="B16" s="16" t="s">
        <v>33</v>
      </c>
      <c r="C16" s="122">
        <v>7.69</v>
      </c>
      <c r="D16" s="17"/>
      <c r="E16" s="38">
        <f t="shared" si="1"/>
        <v>7.69</v>
      </c>
      <c r="F16" s="19"/>
      <c r="G16" s="20">
        <v>0</v>
      </c>
      <c r="H16" s="21"/>
      <c r="I16" s="21"/>
      <c r="J16" s="22">
        <f t="shared" si="3"/>
        <v>7.69</v>
      </c>
      <c r="L16" s="35" t="s">
        <v>54</v>
      </c>
      <c r="M16" s="35"/>
      <c r="N16" s="31">
        <f>N6*1.3</f>
        <v>24.7</v>
      </c>
      <c r="O16" s="31">
        <f>O6*1.35</f>
        <v>13.5</v>
      </c>
      <c r="P16" s="31">
        <f>P6*1.35</f>
        <v>0</v>
      </c>
      <c r="Q16" s="31">
        <f>Q6*1.1</f>
        <v>0</v>
      </c>
      <c r="R16" s="31">
        <f>R6*1.15</f>
        <v>9.1999999999999993</v>
      </c>
      <c r="S16" s="31">
        <f>S6*1.25</f>
        <v>0</v>
      </c>
      <c r="T16" s="31">
        <v>0</v>
      </c>
      <c r="U16" s="31">
        <f>U6*1.25</f>
        <v>0</v>
      </c>
      <c r="V16" s="31">
        <f>V6*1.029</f>
        <v>0</v>
      </c>
      <c r="W16" s="31">
        <f>W6*1.05</f>
        <v>0</v>
      </c>
      <c r="X16" s="119">
        <f>SUM(N16:W16)</f>
        <v>47.400000000000006</v>
      </c>
    </row>
    <row r="17" spans="1:24" ht="34.5" hidden="1" customHeight="1">
      <c r="A17" s="15" t="s">
        <v>55</v>
      </c>
      <c r="B17" s="16" t="s">
        <v>56</v>
      </c>
      <c r="C17" s="123">
        <v>0</v>
      </c>
      <c r="D17" s="17"/>
      <c r="E17" s="18">
        <f t="shared" si="1"/>
        <v>0</v>
      </c>
      <c r="F17" s="19"/>
      <c r="G17" s="20"/>
      <c r="H17" s="21"/>
      <c r="I17" s="25"/>
      <c r="J17" s="40">
        <f t="shared" si="3"/>
        <v>0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18"/>
    </row>
    <row r="18" spans="1:24" ht="24.75" hidden="1" customHeight="1" thickBot="1">
      <c r="A18" s="41" t="s">
        <v>57</v>
      </c>
      <c r="B18" s="42" t="s">
        <v>58</v>
      </c>
      <c r="C18" s="124">
        <v>0</v>
      </c>
      <c r="D18" s="43"/>
      <c r="E18" s="44">
        <f t="shared" si="1"/>
        <v>0</v>
      </c>
      <c r="F18" s="45"/>
      <c r="G18" s="46"/>
      <c r="H18" s="47"/>
      <c r="I18" s="48"/>
      <c r="J18" s="49">
        <f t="shared" si="3"/>
        <v>0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18"/>
    </row>
    <row r="19" spans="1:24" ht="45" customHeight="1">
      <c r="A19" s="164" t="s">
        <v>59</v>
      </c>
      <c r="B19" s="50" t="s">
        <v>60</v>
      </c>
      <c r="C19" s="125">
        <v>347.4510000000015</v>
      </c>
      <c r="D19" s="51">
        <v>53.33</v>
      </c>
      <c r="E19" s="52">
        <f>C19+D19</f>
        <v>400.78100000000148</v>
      </c>
      <c r="F19" s="53">
        <f>J29</f>
        <v>55.000000000000007</v>
      </c>
      <c r="G19" s="54"/>
      <c r="H19" s="55">
        <v>0</v>
      </c>
      <c r="I19" s="56"/>
      <c r="J19" s="57">
        <f>E19-F19-G19</f>
        <v>345.78100000000148</v>
      </c>
      <c r="L19" s="58" t="s">
        <v>61</v>
      </c>
      <c r="M19" s="58"/>
      <c r="N19" s="31">
        <f>N6*4</f>
        <v>76</v>
      </c>
      <c r="O19" s="59">
        <f t="shared" ref="O19:W19" si="4">O6*4</f>
        <v>40</v>
      </c>
      <c r="P19" s="59">
        <f t="shared" si="4"/>
        <v>0</v>
      </c>
      <c r="Q19" s="59">
        <f t="shared" si="4"/>
        <v>0</v>
      </c>
      <c r="R19" s="59">
        <f t="shared" si="4"/>
        <v>32</v>
      </c>
      <c r="S19" s="59">
        <f t="shared" si="4"/>
        <v>0</v>
      </c>
      <c r="T19" s="59">
        <f t="shared" si="4"/>
        <v>0</v>
      </c>
      <c r="U19" s="59">
        <f t="shared" si="4"/>
        <v>0</v>
      </c>
      <c r="V19" s="59">
        <f t="shared" si="4"/>
        <v>0</v>
      </c>
      <c r="W19" s="59">
        <f t="shared" si="4"/>
        <v>0</v>
      </c>
      <c r="X19" s="119">
        <f>SUM(N19:W19)</f>
        <v>148</v>
      </c>
    </row>
    <row r="20" spans="1:24" ht="22.5" customHeight="1" thickBot="1">
      <c r="A20" s="165"/>
      <c r="B20" s="60" t="s">
        <v>62</v>
      </c>
      <c r="C20" s="61">
        <v>-140</v>
      </c>
      <c r="D20" s="62">
        <v>0</v>
      </c>
      <c r="E20" s="63">
        <f>C20+D20</f>
        <v>-140</v>
      </c>
      <c r="F20" s="64">
        <v>0</v>
      </c>
      <c r="G20" s="65">
        <v>28</v>
      </c>
      <c r="H20" s="66">
        <f>I20/0.1257</f>
        <v>-1152.1685457986998</v>
      </c>
      <c r="I20" s="67">
        <f>J20/1.16</f>
        <v>-144.82758620689657</v>
      </c>
      <c r="J20" s="68">
        <f t="shared" si="3"/>
        <v>-168</v>
      </c>
      <c r="L20" s="58" t="s">
        <v>63</v>
      </c>
      <c r="M20" s="58"/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120">
        <f>SUM(N20:W20)</f>
        <v>0</v>
      </c>
    </row>
    <row r="21" spans="1:24" ht="45.75" customHeight="1">
      <c r="A21" s="69" t="s">
        <v>64</v>
      </c>
      <c r="B21" s="70" t="s">
        <v>65</v>
      </c>
      <c r="C21" s="71" t="s">
        <v>66</v>
      </c>
      <c r="D21" s="72" t="s">
        <v>67</v>
      </c>
      <c r="E21" s="166" t="s">
        <v>59</v>
      </c>
      <c r="F21" s="167"/>
      <c r="G21" s="73" t="s">
        <v>68</v>
      </c>
      <c r="H21" s="74"/>
      <c r="I21" s="75"/>
      <c r="J21" s="76">
        <f>SUM(J19:J20)</f>
        <v>177.78100000000148</v>
      </c>
      <c r="L21" s="58" t="s">
        <v>69</v>
      </c>
      <c r="M21" s="58"/>
      <c r="N21" s="31">
        <f>N6*3</f>
        <v>57</v>
      </c>
      <c r="O21" s="31">
        <f>O6*2.2</f>
        <v>22</v>
      </c>
      <c r="P21" s="31">
        <f t="shared" ref="P21:W21" si="5">P6*2.2</f>
        <v>0</v>
      </c>
      <c r="Q21" s="31">
        <f t="shared" si="5"/>
        <v>0</v>
      </c>
      <c r="R21" s="31">
        <f t="shared" si="5"/>
        <v>17.600000000000001</v>
      </c>
      <c r="S21" s="31">
        <f t="shared" si="5"/>
        <v>0</v>
      </c>
      <c r="T21" s="31">
        <f t="shared" si="5"/>
        <v>0</v>
      </c>
      <c r="U21" s="31">
        <f t="shared" si="5"/>
        <v>0</v>
      </c>
      <c r="V21" s="31">
        <f t="shared" si="5"/>
        <v>0</v>
      </c>
      <c r="W21" s="31">
        <f t="shared" si="5"/>
        <v>0</v>
      </c>
      <c r="X21" s="117">
        <f>SUM(N21:W21)</f>
        <v>96.6</v>
      </c>
    </row>
    <row r="22" spans="1:24" ht="21" customHeight="1" thickBot="1">
      <c r="A22" s="77" t="s">
        <v>70</v>
      </c>
      <c r="B22" s="78">
        <f>P9</f>
        <v>138.5</v>
      </c>
      <c r="C22" s="79">
        <v>100</v>
      </c>
      <c r="D22" s="80">
        <v>25</v>
      </c>
      <c r="E22" s="143" t="s">
        <v>71</v>
      </c>
      <c r="F22" s="144"/>
      <c r="G22" s="81">
        <v>74</v>
      </c>
      <c r="H22" s="82">
        <f>G22*6</f>
        <v>444</v>
      </c>
      <c r="I22" s="83">
        <f>H22*0.115</f>
        <v>51.06</v>
      </c>
      <c r="J22" s="84">
        <f>I22*1.16</f>
        <v>59.229599999999998</v>
      </c>
      <c r="L22" s="168" t="s">
        <v>72</v>
      </c>
      <c r="M22" s="168"/>
      <c r="N22" s="85">
        <v>0</v>
      </c>
      <c r="O22" s="85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f>U6*5</f>
        <v>0</v>
      </c>
      <c r="V22" s="31">
        <f>V6*5</f>
        <v>0</v>
      </c>
      <c r="W22" s="31">
        <f>W6*5</f>
        <v>0</v>
      </c>
      <c r="X22" s="120">
        <f>SUM(N22:W22)</f>
        <v>0</v>
      </c>
    </row>
    <row r="23" spans="1:24" ht="21">
      <c r="A23" s="77" t="s">
        <v>73</v>
      </c>
      <c r="B23" s="78">
        <f>O9</f>
        <v>153.5</v>
      </c>
      <c r="C23" s="79">
        <v>120</v>
      </c>
      <c r="D23" s="80">
        <v>2.5</v>
      </c>
      <c r="E23" s="143" t="s">
        <v>74</v>
      </c>
      <c r="F23" s="144"/>
      <c r="G23" s="81">
        <v>23</v>
      </c>
      <c r="H23" s="82">
        <f>G23*6</f>
        <v>138</v>
      </c>
      <c r="I23" s="83">
        <f>H23*0.115</f>
        <v>15.870000000000001</v>
      </c>
      <c r="J23" s="84">
        <f>I23*1.16</f>
        <v>18.409199999999998</v>
      </c>
      <c r="L23" s="157" t="s">
        <v>75</v>
      </c>
      <c r="M23" s="158"/>
      <c r="N23" s="158"/>
      <c r="O23" s="159"/>
    </row>
    <row r="24" spans="1:24" ht="21" customHeight="1">
      <c r="A24" s="77" t="s">
        <v>76</v>
      </c>
      <c r="B24" s="78">
        <f>N9</f>
        <v>307.98200000000003</v>
      </c>
      <c r="C24" s="79">
        <v>260</v>
      </c>
      <c r="D24" s="80">
        <v>20</v>
      </c>
      <c r="E24" s="143" t="s">
        <v>77</v>
      </c>
      <c r="F24" s="144"/>
      <c r="G24" s="86">
        <v>37</v>
      </c>
      <c r="H24" s="82">
        <f>G24*6</f>
        <v>222</v>
      </c>
      <c r="I24" s="83">
        <f>H24*0.115</f>
        <v>25.53</v>
      </c>
      <c r="J24" s="84">
        <f>I24*1.16</f>
        <v>29.614799999999999</v>
      </c>
      <c r="K24" s="87"/>
      <c r="L24" s="88">
        <v>1</v>
      </c>
      <c r="M24" s="89" t="s">
        <v>78</v>
      </c>
      <c r="N24" s="90">
        <f>X6</f>
        <v>37</v>
      </c>
      <c r="O24" s="91" t="s">
        <v>79</v>
      </c>
    </row>
    <row r="25" spans="1:24" ht="21.75" customHeight="1">
      <c r="A25" s="77" t="s">
        <v>80</v>
      </c>
      <c r="B25" s="78">
        <f>S9</f>
        <v>92.759</v>
      </c>
      <c r="C25" s="79">
        <v>68</v>
      </c>
      <c r="D25" s="80">
        <v>45</v>
      </c>
      <c r="E25" s="143" t="s">
        <v>81</v>
      </c>
      <c r="F25" s="144"/>
      <c r="G25" s="81">
        <v>70</v>
      </c>
      <c r="I25" s="83"/>
      <c r="J25" s="84">
        <f>G25*0.15*1.15</f>
        <v>12.074999999999999</v>
      </c>
      <c r="K25" s="87"/>
      <c r="L25" s="88">
        <v>2</v>
      </c>
      <c r="M25" s="89" t="s">
        <v>82</v>
      </c>
      <c r="N25" s="92">
        <f>X7+X8</f>
        <v>62</v>
      </c>
      <c r="O25" s="91" t="s">
        <v>79</v>
      </c>
    </row>
    <row r="26" spans="1:24" ht="21" customHeight="1">
      <c r="A26" s="77" t="s">
        <v>83</v>
      </c>
      <c r="B26" s="78">
        <f>R9</f>
        <v>155.44999999999999</v>
      </c>
      <c r="C26" s="79">
        <v>98</v>
      </c>
      <c r="D26" s="80">
        <v>58</v>
      </c>
      <c r="E26" s="143" t="s">
        <v>84</v>
      </c>
      <c r="F26" s="144"/>
      <c r="G26" s="86">
        <v>20</v>
      </c>
      <c r="I26" s="83"/>
      <c r="J26" s="84">
        <f>G26*0.15*1.15</f>
        <v>3.4499999999999997</v>
      </c>
      <c r="L26" s="88">
        <v>3</v>
      </c>
      <c r="M26" s="89" t="s">
        <v>85</v>
      </c>
      <c r="N26" s="92">
        <f>X9</f>
        <v>924.24599999999987</v>
      </c>
      <c r="O26" s="91" t="s">
        <v>79</v>
      </c>
    </row>
    <row r="27" spans="1:24" ht="21" customHeight="1">
      <c r="A27" s="77" t="s">
        <v>86</v>
      </c>
      <c r="B27" s="78">
        <f>Q9</f>
        <v>53.120000000000005</v>
      </c>
      <c r="C27" s="79">
        <v>20</v>
      </c>
      <c r="D27" s="80">
        <v>24</v>
      </c>
      <c r="E27" s="143" t="s">
        <v>87</v>
      </c>
      <c r="F27" s="144"/>
      <c r="G27" s="93">
        <v>0</v>
      </c>
      <c r="J27" s="84">
        <f>(G27*0.8)</f>
        <v>0</v>
      </c>
      <c r="K27" s="94" t="s">
        <v>88</v>
      </c>
      <c r="L27" s="88">
        <v>4</v>
      </c>
      <c r="M27" s="89" t="s">
        <v>89</v>
      </c>
      <c r="N27" s="92">
        <f>C30</f>
        <v>666</v>
      </c>
      <c r="O27" s="91" t="s">
        <v>79</v>
      </c>
    </row>
    <row r="28" spans="1:24" ht="19.5" customHeight="1">
      <c r="A28" s="77" t="s">
        <v>90</v>
      </c>
      <c r="B28" s="78">
        <f>T9</f>
        <v>15.25</v>
      </c>
      <c r="C28" s="95"/>
      <c r="D28" s="80">
        <v>15.25</v>
      </c>
      <c r="E28" s="143" t="s">
        <v>91</v>
      </c>
      <c r="F28" s="144"/>
      <c r="G28" s="86">
        <v>100</v>
      </c>
      <c r="J28" s="126">
        <f>(G28*0.55)</f>
        <v>55.000000000000007</v>
      </c>
      <c r="L28" s="88">
        <v>5</v>
      </c>
      <c r="M28" s="89" t="s">
        <v>92</v>
      </c>
      <c r="N28" s="92">
        <f>D19</f>
        <v>53.33</v>
      </c>
      <c r="O28" s="91" t="s">
        <v>79</v>
      </c>
    </row>
    <row r="29" spans="1:24" ht="22.5" customHeight="1">
      <c r="A29" s="77" t="s">
        <v>93</v>
      </c>
      <c r="B29" s="78">
        <f>W9</f>
        <v>7.6849999999999996</v>
      </c>
      <c r="C29" s="95"/>
      <c r="D29" s="96"/>
      <c r="E29" s="143" t="s">
        <v>94</v>
      </c>
      <c r="F29" s="144"/>
      <c r="G29" s="97">
        <f>SUM(G27:G28)</f>
        <v>100</v>
      </c>
      <c r="H29" s="82">
        <f>G29*6</f>
        <v>600</v>
      </c>
      <c r="I29" s="83"/>
      <c r="J29" s="126">
        <f>SUM(J27:J28)</f>
        <v>55.000000000000007</v>
      </c>
      <c r="L29" s="88">
        <v>6</v>
      </c>
      <c r="M29" s="89" t="s">
        <v>95</v>
      </c>
      <c r="N29" s="92">
        <f>N28*0.325</f>
        <v>17.332249999999998</v>
      </c>
      <c r="O29" s="98" t="s">
        <v>79</v>
      </c>
    </row>
    <row r="30" spans="1:24" ht="21.75" thickBot="1">
      <c r="A30" s="99" t="s">
        <v>96</v>
      </c>
      <c r="B30" s="100">
        <f>SUM(B22:B29)</f>
        <v>924.24599999999998</v>
      </c>
      <c r="C30" s="100">
        <f>SUM(C22:C29)</f>
        <v>666</v>
      </c>
      <c r="D30" s="113">
        <f>SUM(D23:D29)</f>
        <v>164.75</v>
      </c>
      <c r="E30" s="145" t="s">
        <v>97</v>
      </c>
      <c r="F30" s="146"/>
      <c r="G30" s="101"/>
      <c r="H30" s="102">
        <f>F30*6</f>
        <v>0</v>
      </c>
      <c r="I30" s="103">
        <v>0</v>
      </c>
      <c r="J30" s="104">
        <f>J22+J23+J24+J25+J26+J29-J21</f>
        <v>-2.4000000014723355E-3</v>
      </c>
      <c r="K30" s="87"/>
      <c r="L30" s="88">
        <v>7</v>
      </c>
      <c r="M30" s="105" t="s">
        <v>98</v>
      </c>
      <c r="N30" s="106">
        <f>J29</f>
        <v>55.000000000000007</v>
      </c>
      <c r="O30" s="107" t="s">
        <v>79</v>
      </c>
    </row>
    <row r="31" spans="1:24" ht="22.5" customHeight="1" thickBot="1">
      <c r="B31" s="108"/>
      <c r="K31" s="109"/>
    </row>
    <row r="32" spans="1:24" ht="24" thickBot="1">
      <c r="A32" s="147" t="s">
        <v>99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8"/>
      <c r="N32" s="149" t="s">
        <v>100</v>
      </c>
      <c r="O32" s="150"/>
      <c r="P32" s="110"/>
      <c r="Q32" s="110"/>
      <c r="R32" s="110"/>
      <c r="X32" s="2"/>
    </row>
    <row r="33" spans="1:17" ht="15.75" customHeight="1">
      <c r="A33" s="131">
        <v>1</v>
      </c>
      <c r="B33" s="141" t="s">
        <v>101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2"/>
      <c r="N33" s="151"/>
      <c r="O33" s="152"/>
    </row>
    <row r="34" spans="1:17" ht="15.75" customHeight="1">
      <c r="A34" s="111">
        <v>2</v>
      </c>
      <c r="B34" s="141" t="s">
        <v>102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2"/>
      <c r="N34" s="153"/>
      <c r="O34" s="154"/>
    </row>
    <row r="35" spans="1:17" ht="15.75">
      <c r="A35" s="111">
        <v>3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2"/>
      <c r="N35" s="153"/>
      <c r="O35" s="154"/>
    </row>
    <row r="36" spans="1:17" ht="15.75">
      <c r="A36" s="111">
        <v>4</v>
      </c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2"/>
      <c r="N36" s="153"/>
      <c r="O36" s="154"/>
      <c r="P36" s="112"/>
      <c r="Q36" s="112"/>
    </row>
    <row r="37" spans="1:17" ht="15.75">
      <c r="A37" s="111">
        <v>5</v>
      </c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2"/>
      <c r="N37" s="155"/>
      <c r="O37" s="156"/>
    </row>
  </sheetData>
  <sheetProtection sheet="1" objects="1" scenarios="1"/>
  <mergeCells count="39">
    <mergeCell ref="E28:F28"/>
    <mergeCell ref="E29:F29"/>
    <mergeCell ref="E30:F30"/>
    <mergeCell ref="A32:M32"/>
    <mergeCell ref="N32:O32"/>
    <mergeCell ref="B33:M33"/>
    <mergeCell ref="N33:O37"/>
    <mergeCell ref="B34:M34"/>
    <mergeCell ref="B35:M35"/>
    <mergeCell ref="B36:M36"/>
    <mergeCell ref="B37:M37"/>
    <mergeCell ref="E27:F27"/>
    <mergeCell ref="L11:X11"/>
    <mergeCell ref="L12:M12"/>
    <mergeCell ref="A19:A20"/>
    <mergeCell ref="E21:F21"/>
    <mergeCell ref="E22:F22"/>
    <mergeCell ref="L22:M22"/>
    <mergeCell ref="E23:F23"/>
    <mergeCell ref="L23:O23"/>
    <mergeCell ref="E24:F24"/>
    <mergeCell ref="E25:F25"/>
    <mergeCell ref="E26:F26"/>
    <mergeCell ref="L10:X10"/>
    <mergeCell ref="B1:J1"/>
    <mergeCell ref="L2:X2"/>
    <mergeCell ref="A3:A5"/>
    <mergeCell ref="B3:B5"/>
    <mergeCell ref="C3:C5"/>
    <mergeCell ref="D3:D5"/>
    <mergeCell ref="E3:E5"/>
    <mergeCell ref="F3:G4"/>
    <mergeCell ref="H3:J5"/>
    <mergeCell ref="L3:X3"/>
    <mergeCell ref="L4:M5"/>
    <mergeCell ref="L6:M6"/>
    <mergeCell ref="L7:M7"/>
    <mergeCell ref="L8:M8"/>
    <mergeCell ref="L9: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12.06.02018</vt:lpstr>
      <vt:lpstr>11.06.18</vt:lpstr>
      <vt:lpstr>10.06.2018</vt:lpstr>
      <vt:lpstr>09.06.2018</vt:lpstr>
      <vt:lpstr>08.06.2018</vt:lpstr>
      <vt:lpstr>07.06.18</vt:lpstr>
      <vt:lpstr>06.06.2018</vt:lpstr>
      <vt:lpstr>05.06.18</vt:lpstr>
      <vt:lpstr>04.06.18</vt:lpstr>
      <vt:lpstr>03.06.18</vt:lpstr>
      <vt:lpstr>02.06.18</vt:lpstr>
      <vt:lpstr>01.06.18</vt:lpstr>
      <vt:lpstr>31.05.18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Vindhyachal Prasad</dc:creator>
  <cp:lastModifiedBy>hp</cp:lastModifiedBy>
  <dcterms:created xsi:type="dcterms:W3CDTF">2018-05-05T03:31:32Z</dcterms:created>
  <dcterms:modified xsi:type="dcterms:W3CDTF">2018-06-13T04:53:49Z</dcterms:modified>
</cp:coreProperties>
</file>