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https://d.docs.live.net/8d582365abbc9881/Documents/Umich Assignments/"/>
    </mc:Choice>
  </mc:AlternateContent>
  <xr:revisionPtr revIDLastSave="159" documentId="14_{D2A058A4-7757-419E-9329-71BDCEEEB24F}" xr6:coauthVersionLast="47" xr6:coauthVersionMax="47" xr10:uidLastSave="{C76AACA7-B96B-4D16-BC6B-C8DD2951F0F2}"/>
  <bookViews>
    <workbookView xWindow="-108" yWindow="-108" windowWidth="23256" windowHeight="13896" firstSheet="5" activeTab="9" xr2:uid="{DDD0CDE1-7C80-49B8-874C-1322278FD589}"/>
  </bookViews>
  <sheets>
    <sheet name="Assumptions" sheetId="22" r:id="rId1"/>
    <sheet name="1 step binomial tree with EV" sheetId="27" r:id="rId2"/>
    <sheet name="Q1Eu1St" sheetId="19" r:id="rId3"/>
    <sheet name="Q1Eu2St" sheetId="2" r:id="rId4"/>
    <sheet name="Q1Eu3St" sheetId="23" r:id="rId5"/>
    <sheet name="Q3Am1St" sheetId="18" r:id="rId6"/>
    <sheet name="Q3Am2St" sheetId="16" r:id="rId7"/>
    <sheet name="Q3Am3St" sheetId="24" r:id="rId8"/>
    <sheet name="Q2BSM" sheetId="20" r:id="rId9"/>
    <sheet name="Hard Currencies Q" sheetId="50" r:id="rId10"/>
    <sheet name="Hard Hedging Q" sheetId="34" r:id="rId11"/>
    <sheet name="Copper Question" sheetId="45" r:id="rId12"/>
    <sheet name="portfolio value (gme&amp;dte)" sheetId="48" r:id="rId13"/>
    <sheet name="2 step binomial with euro vs am" sheetId="28" r:id="rId14"/>
    <sheet name="Vornado European" sheetId="29" r:id="rId15"/>
    <sheet name="Berkshire Bank Straddle" sheetId="30" r:id="rId16"/>
    <sheet name="Hard Black Scholes" sheetId="54" r:id="rId17"/>
    <sheet name="Currency Hedging Question" sheetId="47" r:id="rId18"/>
    <sheet name="Time to maturity BSM" sheetId="52" r:id="rId19"/>
    <sheet name="JBLU Hedging" sheetId="53" r:id="rId20"/>
    <sheet name="Simpson Manufacturing Hedging" sheetId="51" r:id="rId21"/>
    <sheet name="Target Black Scholes" sheetId="36" r:id="rId22"/>
    <sheet name="1 step binomial tree copper" sheetId="37" r:id="rId23"/>
    <sheet name="2 step binomial with euro v (2)" sheetId="39" r:id="rId24"/>
    <sheet name="Wolverine World Wide Longshort" sheetId="40" r:id="rId25"/>
    <sheet name="3stepbinomialTESLA" sheetId="42" r:id="rId26"/>
    <sheet name="3StAmerican" sheetId="43" r:id="rId27"/>
    <sheet name="Hertz Black Scholes" sheetId="44" r:id="rId28"/>
    <sheet name="SPY Question Not too hard" sheetId="49" r:id="rId29"/>
    <sheet name="GM 1 Step Binomial" sheetId="41" r:id="rId30"/>
    <sheet name="Q4" sheetId="25" r:id="rId31"/>
    <sheet name="Summary" sheetId="26" r:id="rId32"/>
  </sheets>
  <externalReferences>
    <externalReference r:id="rId33"/>
    <externalReference r:id="rId34"/>
  </externalReferences>
  <definedNames>
    <definedName name="solver_adj" localSheetId="22" hidden="1">'1 step binomial tree copper'!$C$4,'1 step binomial tree copper'!#REF!</definedName>
    <definedName name="solver_adj" localSheetId="1" hidden="1">'1 step binomial tree with EV'!$C$4,'1 step binomial tree with EV'!#REF!</definedName>
    <definedName name="solver_adj" localSheetId="23" hidden="1">'2 step binomial with euro v (2)'!$C$4,'2 step binomial with euro v (2)'!#REF!</definedName>
    <definedName name="solver_adj" localSheetId="13" hidden="1">'2 step binomial with euro vs am'!$C$4,'2 step binomial with euro vs am'!#REF!</definedName>
    <definedName name="solver_adj" localSheetId="26" hidden="1">'3StAmerican'!$C$4,'3StAmerican'!#REF!</definedName>
    <definedName name="solver_adj" localSheetId="25" hidden="1">'3stepbinomialTESLA'!$C$4,'3stepbinomialTESLA'!#REF!</definedName>
    <definedName name="solver_adj" localSheetId="29" hidden="1">'GM 1 Step Binomial'!$C$4,'GM 1 Step Binomial'!#REF!</definedName>
    <definedName name="solver_adj" localSheetId="9" hidden="1">'Hard Currencies Q'!$B$7</definedName>
    <definedName name="solver_adj" localSheetId="2" hidden="1">Q1Eu1St!$C$4,Q1Eu1St!#REF!</definedName>
    <definedName name="solver_adj" localSheetId="3" hidden="1">Q1Eu2St!$C$4,Q1Eu2St!#REF!</definedName>
    <definedName name="solver_adj" localSheetId="4" hidden="1">Q1Eu3St!$C$4,Q1Eu3St!#REF!</definedName>
    <definedName name="solver_adj" localSheetId="5" hidden="1">Q3Am1St!$C$4,Q3Am1St!#REF!</definedName>
    <definedName name="solver_adj" localSheetId="6" hidden="1">Q3Am2St!$C$4,Q3Am2St!#REF!</definedName>
    <definedName name="solver_adj" localSheetId="7" hidden="1">Q3Am3St!$C$4,Q3Am3St!#REF!</definedName>
    <definedName name="solver_adj" localSheetId="14" hidden="1">'Vornado European'!$C$4,'Vornado European'!#REF!</definedName>
    <definedName name="solver_cvg" localSheetId="22" hidden="1">0.0001</definedName>
    <definedName name="solver_cvg" localSheetId="1" hidden="1">0.0001</definedName>
    <definedName name="solver_cvg" localSheetId="23" hidden="1">0.0001</definedName>
    <definedName name="solver_cvg" localSheetId="13" hidden="1">0.0001</definedName>
    <definedName name="solver_cvg" localSheetId="26" hidden="1">0.0001</definedName>
    <definedName name="solver_cvg" localSheetId="25" hidden="1">0.0001</definedName>
    <definedName name="solver_cvg" localSheetId="29" hidden="1">0.0001</definedName>
    <definedName name="solver_cvg" localSheetId="9" hidden="1">0.0001</definedName>
    <definedName name="solver_cvg" localSheetId="2" hidden="1">0.0001</definedName>
    <definedName name="solver_cvg" localSheetId="3" hidden="1">0.0001</definedName>
    <definedName name="solver_cvg" localSheetId="4" hidden="1">0.0001</definedName>
    <definedName name="solver_cvg" localSheetId="5" hidden="1">0.0001</definedName>
    <definedName name="solver_cvg" localSheetId="6" hidden="1">0.0001</definedName>
    <definedName name="solver_cvg" localSheetId="7" hidden="1">0.0001</definedName>
    <definedName name="solver_cvg" localSheetId="14" hidden="1">0.0001</definedName>
    <definedName name="solver_drv" localSheetId="22" hidden="1">2</definedName>
    <definedName name="solver_drv" localSheetId="1" hidden="1">2</definedName>
    <definedName name="solver_drv" localSheetId="23" hidden="1">2</definedName>
    <definedName name="solver_drv" localSheetId="13" hidden="1">2</definedName>
    <definedName name="solver_drv" localSheetId="26" hidden="1">2</definedName>
    <definedName name="solver_drv" localSheetId="25" hidden="1">2</definedName>
    <definedName name="solver_drv" localSheetId="29" hidden="1">2</definedName>
    <definedName name="solver_drv" localSheetId="9" hidden="1">1</definedName>
    <definedName name="solver_drv" localSheetId="2" hidden="1">2</definedName>
    <definedName name="solver_drv" localSheetId="3" hidden="1">2</definedName>
    <definedName name="solver_drv" localSheetId="4" hidden="1">2</definedName>
    <definedName name="solver_drv" localSheetId="5" hidden="1">2</definedName>
    <definedName name="solver_drv" localSheetId="6" hidden="1">2</definedName>
    <definedName name="solver_drv" localSheetId="7" hidden="1">2</definedName>
    <definedName name="solver_drv" localSheetId="14" hidden="1">2</definedName>
    <definedName name="solver_eng" localSheetId="22" hidden="1">1</definedName>
    <definedName name="solver_eng" localSheetId="1" hidden="1">1</definedName>
    <definedName name="solver_eng" localSheetId="23" hidden="1">1</definedName>
    <definedName name="solver_eng" localSheetId="13" hidden="1">1</definedName>
    <definedName name="solver_eng" localSheetId="26" hidden="1">1</definedName>
    <definedName name="solver_eng" localSheetId="25" hidden="1">1</definedName>
    <definedName name="solver_eng" localSheetId="29" hidden="1">1</definedName>
    <definedName name="solver_eng" localSheetId="9" hidden="1">1</definedName>
    <definedName name="solver_eng" localSheetId="2" hidden="1">1</definedName>
    <definedName name="solver_eng" localSheetId="3" hidden="1">1</definedName>
    <definedName name="solver_eng" localSheetId="4" hidden="1">1</definedName>
    <definedName name="solver_eng" localSheetId="5" hidden="1">1</definedName>
    <definedName name="solver_eng" localSheetId="6" hidden="1">1</definedName>
    <definedName name="solver_eng" localSheetId="7" hidden="1">1</definedName>
    <definedName name="solver_eng" localSheetId="14" hidden="1">1</definedName>
    <definedName name="solver_est" localSheetId="22" hidden="1">1</definedName>
    <definedName name="solver_est" localSheetId="1" hidden="1">1</definedName>
    <definedName name="solver_est" localSheetId="23" hidden="1">1</definedName>
    <definedName name="solver_est" localSheetId="13" hidden="1">1</definedName>
    <definedName name="solver_est" localSheetId="26" hidden="1">1</definedName>
    <definedName name="solver_est" localSheetId="25" hidden="1">1</definedName>
    <definedName name="solver_est" localSheetId="29" hidden="1">1</definedName>
    <definedName name="solver_est" localSheetId="9" hidden="1">1</definedName>
    <definedName name="solver_est" localSheetId="2" hidden="1">1</definedName>
    <definedName name="solver_est" localSheetId="3" hidden="1">1</definedName>
    <definedName name="solver_est" localSheetId="4" hidden="1">1</definedName>
    <definedName name="solver_est" localSheetId="5" hidden="1">1</definedName>
    <definedName name="solver_est" localSheetId="6" hidden="1">1</definedName>
    <definedName name="solver_est" localSheetId="7" hidden="1">1</definedName>
    <definedName name="solver_est" localSheetId="14" hidden="1">1</definedName>
    <definedName name="solver_itr" localSheetId="22" hidden="1">2147483647</definedName>
    <definedName name="solver_itr" localSheetId="1" hidden="1">2147483647</definedName>
    <definedName name="solver_itr" localSheetId="23" hidden="1">2147483647</definedName>
    <definedName name="solver_itr" localSheetId="13" hidden="1">2147483647</definedName>
    <definedName name="solver_itr" localSheetId="26" hidden="1">2147483647</definedName>
    <definedName name="solver_itr" localSheetId="25" hidden="1">2147483647</definedName>
    <definedName name="solver_itr" localSheetId="29" hidden="1">2147483647</definedName>
    <definedName name="solver_itr" localSheetId="9" hidden="1">2147483647</definedName>
    <definedName name="solver_itr" localSheetId="2" hidden="1">2147483647</definedName>
    <definedName name="solver_itr" localSheetId="3" hidden="1">2147483647</definedName>
    <definedName name="solver_itr" localSheetId="4" hidden="1">2147483647</definedName>
    <definedName name="solver_itr" localSheetId="5" hidden="1">2147483647</definedName>
    <definedName name="solver_itr" localSheetId="6" hidden="1">2147483647</definedName>
    <definedName name="solver_itr" localSheetId="7" hidden="1">2147483647</definedName>
    <definedName name="solver_itr" localSheetId="14" hidden="1">2147483647</definedName>
    <definedName name="solver_lhs1" localSheetId="22" hidden="1">'1 step binomial tree copper'!#REF!</definedName>
    <definedName name="solver_lhs1" localSheetId="1" hidden="1">'1 step binomial tree with EV'!#REF!</definedName>
    <definedName name="solver_lhs1" localSheetId="23" hidden="1">'2 step binomial with euro v (2)'!$R$19</definedName>
    <definedName name="solver_lhs1" localSheetId="13" hidden="1">'2 step binomial with euro vs am'!$R$21</definedName>
    <definedName name="solver_lhs1" localSheetId="26" hidden="1">'3StAmerican'!$T$19</definedName>
    <definedName name="solver_lhs1" localSheetId="25" hidden="1">'3stepbinomialTESLA'!$T$19</definedName>
    <definedName name="solver_lhs1" localSheetId="29" hidden="1">'GM 1 Step Binomial'!#REF!</definedName>
    <definedName name="solver_lhs1" localSheetId="9" hidden="1">'Hard Currencies Q'!$B$7</definedName>
    <definedName name="solver_lhs1" localSheetId="2" hidden="1">Q1Eu1St!#REF!</definedName>
    <definedName name="solver_lhs1" localSheetId="3" hidden="1">Q1Eu2St!$R$19</definedName>
    <definedName name="solver_lhs1" localSheetId="4" hidden="1">Q1Eu3St!$T$19</definedName>
    <definedName name="solver_lhs1" localSheetId="5" hidden="1">Q3Am1St!#REF!</definedName>
    <definedName name="solver_lhs1" localSheetId="6" hidden="1">Q3Am2St!$R$19</definedName>
    <definedName name="solver_lhs1" localSheetId="7" hidden="1">Q3Am3St!$T$19</definedName>
    <definedName name="solver_lhs1" localSheetId="14" hidden="1">'Vornado European'!$R$19</definedName>
    <definedName name="solver_mip" localSheetId="22" hidden="1">2147483647</definedName>
    <definedName name="solver_mip" localSheetId="1" hidden="1">2147483647</definedName>
    <definedName name="solver_mip" localSheetId="23" hidden="1">2147483647</definedName>
    <definedName name="solver_mip" localSheetId="13" hidden="1">2147483647</definedName>
    <definedName name="solver_mip" localSheetId="26" hidden="1">2147483647</definedName>
    <definedName name="solver_mip" localSheetId="25" hidden="1">2147483647</definedName>
    <definedName name="solver_mip" localSheetId="29" hidden="1">2147483647</definedName>
    <definedName name="solver_mip" localSheetId="9" hidden="1">2147483647</definedName>
    <definedName name="solver_mip" localSheetId="2" hidden="1">2147483647</definedName>
    <definedName name="solver_mip" localSheetId="3" hidden="1">2147483647</definedName>
    <definedName name="solver_mip" localSheetId="4" hidden="1">2147483647</definedName>
    <definedName name="solver_mip" localSheetId="5" hidden="1">2147483647</definedName>
    <definedName name="solver_mip" localSheetId="6" hidden="1">2147483647</definedName>
    <definedName name="solver_mip" localSheetId="7" hidden="1">2147483647</definedName>
    <definedName name="solver_mip" localSheetId="14" hidden="1">2147483647</definedName>
    <definedName name="solver_mni" localSheetId="22" hidden="1">30</definedName>
    <definedName name="solver_mni" localSheetId="1" hidden="1">30</definedName>
    <definedName name="solver_mni" localSheetId="23" hidden="1">30</definedName>
    <definedName name="solver_mni" localSheetId="13" hidden="1">30</definedName>
    <definedName name="solver_mni" localSheetId="26" hidden="1">30</definedName>
    <definedName name="solver_mni" localSheetId="25" hidden="1">30</definedName>
    <definedName name="solver_mni" localSheetId="29" hidden="1">30</definedName>
    <definedName name="solver_mni" localSheetId="9" hidden="1">30</definedName>
    <definedName name="solver_mni" localSheetId="2" hidden="1">30</definedName>
    <definedName name="solver_mni" localSheetId="3" hidden="1">30</definedName>
    <definedName name="solver_mni" localSheetId="4" hidden="1">30</definedName>
    <definedName name="solver_mni" localSheetId="5" hidden="1">30</definedName>
    <definedName name="solver_mni" localSheetId="6" hidden="1">30</definedName>
    <definedName name="solver_mni" localSheetId="7" hidden="1">30</definedName>
    <definedName name="solver_mni" localSheetId="14" hidden="1">30</definedName>
    <definedName name="solver_mrt" localSheetId="22" hidden="1">0.075</definedName>
    <definedName name="solver_mrt" localSheetId="1" hidden="1">0.075</definedName>
    <definedName name="solver_mrt" localSheetId="23" hidden="1">0.075</definedName>
    <definedName name="solver_mrt" localSheetId="13" hidden="1">0.075</definedName>
    <definedName name="solver_mrt" localSheetId="26" hidden="1">0.075</definedName>
    <definedName name="solver_mrt" localSheetId="25" hidden="1">0.075</definedName>
    <definedName name="solver_mrt" localSheetId="29" hidden="1">0.075</definedName>
    <definedName name="solver_mrt" localSheetId="9" hidden="1">0.075</definedName>
    <definedName name="solver_mrt" localSheetId="2" hidden="1">0.075</definedName>
    <definedName name="solver_mrt" localSheetId="3" hidden="1">0.075</definedName>
    <definedName name="solver_mrt" localSheetId="4" hidden="1">0.075</definedName>
    <definedName name="solver_mrt" localSheetId="5" hidden="1">0.075</definedName>
    <definedName name="solver_mrt" localSheetId="6" hidden="1">0.075</definedName>
    <definedName name="solver_mrt" localSheetId="7" hidden="1">0.075</definedName>
    <definedName name="solver_mrt" localSheetId="14" hidden="1">0.075</definedName>
    <definedName name="solver_msl" localSheetId="22" hidden="1">2</definedName>
    <definedName name="solver_msl" localSheetId="1" hidden="1">2</definedName>
    <definedName name="solver_msl" localSheetId="23" hidden="1">2</definedName>
    <definedName name="solver_msl" localSheetId="13" hidden="1">2</definedName>
    <definedName name="solver_msl" localSheetId="26" hidden="1">2</definedName>
    <definedName name="solver_msl" localSheetId="25" hidden="1">2</definedName>
    <definedName name="solver_msl" localSheetId="29" hidden="1">2</definedName>
    <definedName name="solver_msl" localSheetId="9" hidden="1">2</definedName>
    <definedName name="solver_msl" localSheetId="2" hidden="1">2</definedName>
    <definedName name="solver_msl" localSheetId="3" hidden="1">2</definedName>
    <definedName name="solver_msl" localSheetId="4" hidden="1">2</definedName>
    <definedName name="solver_msl" localSheetId="5" hidden="1">2</definedName>
    <definedName name="solver_msl" localSheetId="6" hidden="1">2</definedName>
    <definedName name="solver_msl" localSheetId="7" hidden="1">2</definedName>
    <definedName name="solver_msl" localSheetId="14" hidden="1">2</definedName>
    <definedName name="solver_neg" localSheetId="22" hidden="1">1</definedName>
    <definedName name="solver_neg" localSheetId="1" hidden="1">1</definedName>
    <definedName name="solver_neg" localSheetId="23" hidden="1">1</definedName>
    <definedName name="solver_neg" localSheetId="13" hidden="1">1</definedName>
    <definedName name="solver_neg" localSheetId="26" hidden="1">1</definedName>
    <definedName name="solver_neg" localSheetId="25" hidden="1">1</definedName>
    <definedName name="solver_neg" localSheetId="29" hidden="1">1</definedName>
    <definedName name="solver_neg" localSheetId="9" hidden="1">1</definedName>
    <definedName name="solver_neg" localSheetId="2" hidden="1">1</definedName>
    <definedName name="solver_neg" localSheetId="3" hidden="1">1</definedName>
    <definedName name="solver_neg" localSheetId="4" hidden="1">1</definedName>
    <definedName name="solver_neg" localSheetId="5" hidden="1">1</definedName>
    <definedName name="solver_neg" localSheetId="6" hidden="1">1</definedName>
    <definedName name="solver_neg" localSheetId="7" hidden="1">1</definedName>
    <definedName name="solver_neg" localSheetId="14" hidden="1">1</definedName>
    <definedName name="solver_nod" localSheetId="22" hidden="1">2147483647</definedName>
    <definedName name="solver_nod" localSheetId="1" hidden="1">2147483647</definedName>
    <definedName name="solver_nod" localSheetId="23" hidden="1">2147483647</definedName>
    <definedName name="solver_nod" localSheetId="13" hidden="1">2147483647</definedName>
    <definedName name="solver_nod" localSheetId="26" hidden="1">2147483647</definedName>
    <definedName name="solver_nod" localSheetId="25" hidden="1">2147483647</definedName>
    <definedName name="solver_nod" localSheetId="29" hidden="1">2147483647</definedName>
    <definedName name="solver_nod" localSheetId="9" hidden="1">2147483647</definedName>
    <definedName name="solver_nod" localSheetId="2" hidden="1">2147483647</definedName>
    <definedName name="solver_nod" localSheetId="3" hidden="1">2147483647</definedName>
    <definedName name="solver_nod" localSheetId="4" hidden="1">2147483647</definedName>
    <definedName name="solver_nod" localSheetId="5" hidden="1">2147483647</definedName>
    <definedName name="solver_nod" localSheetId="6" hidden="1">2147483647</definedName>
    <definedName name="solver_nod" localSheetId="7" hidden="1">2147483647</definedName>
    <definedName name="solver_nod" localSheetId="14" hidden="1">2147483647</definedName>
    <definedName name="solver_num" localSheetId="22" hidden="1">1</definedName>
    <definedName name="solver_num" localSheetId="1" hidden="1">1</definedName>
    <definedName name="solver_num" localSheetId="23" hidden="1">1</definedName>
    <definedName name="solver_num" localSheetId="13" hidden="1">1</definedName>
    <definedName name="solver_num" localSheetId="26" hidden="1">1</definedName>
    <definedName name="solver_num" localSheetId="25" hidden="1">1</definedName>
    <definedName name="solver_num" localSheetId="29" hidden="1">1</definedName>
    <definedName name="solver_num" localSheetId="9" hidden="1">0</definedName>
    <definedName name="solver_num" localSheetId="2" hidden="1">1</definedName>
    <definedName name="solver_num" localSheetId="3" hidden="1">1</definedName>
    <definedName name="solver_num" localSheetId="4" hidden="1">1</definedName>
    <definedName name="solver_num" localSheetId="5" hidden="1">1</definedName>
    <definedName name="solver_num" localSheetId="6" hidden="1">1</definedName>
    <definedName name="solver_num" localSheetId="7" hidden="1">1</definedName>
    <definedName name="solver_num" localSheetId="14" hidden="1">1</definedName>
    <definedName name="solver_nwt" localSheetId="22" hidden="1">1</definedName>
    <definedName name="solver_nwt" localSheetId="1" hidden="1">1</definedName>
    <definedName name="solver_nwt" localSheetId="23" hidden="1">1</definedName>
    <definedName name="solver_nwt" localSheetId="13" hidden="1">1</definedName>
    <definedName name="solver_nwt" localSheetId="26" hidden="1">1</definedName>
    <definedName name="solver_nwt" localSheetId="25" hidden="1">1</definedName>
    <definedName name="solver_nwt" localSheetId="29" hidden="1">1</definedName>
    <definedName name="solver_nwt" localSheetId="9" hidden="1">1</definedName>
    <definedName name="solver_nwt" localSheetId="2" hidden="1">1</definedName>
    <definedName name="solver_nwt" localSheetId="3" hidden="1">1</definedName>
    <definedName name="solver_nwt" localSheetId="4" hidden="1">1</definedName>
    <definedName name="solver_nwt" localSheetId="5" hidden="1">1</definedName>
    <definedName name="solver_nwt" localSheetId="6" hidden="1">1</definedName>
    <definedName name="solver_nwt" localSheetId="7" hidden="1">1</definedName>
    <definedName name="solver_nwt" localSheetId="14" hidden="1">1</definedName>
    <definedName name="solver_opt" localSheetId="22" hidden="1">'1 step binomial tree copper'!$K$18</definedName>
    <definedName name="solver_opt" localSheetId="1" hidden="1">'1 step binomial tree with EV'!$K$18</definedName>
    <definedName name="solver_opt" localSheetId="23" hidden="1">'2 step binomial with euro v (2)'!$N$18</definedName>
    <definedName name="solver_opt" localSheetId="13" hidden="1">'2 step binomial with euro vs am'!$N$20</definedName>
    <definedName name="solver_opt" localSheetId="26" hidden="1">'3StAmerican'!#REF!</definedName>
    <definedName name="solver_opt" localSheetId="25" hidden="1">'3stepbinomialTESLA'!#REF!</definedName>
    <definedName name="solver_opt" localSheetId="29" hidden="1">'GM 1 Step Binomial'!$K$18</definedName>
    <definedName name="solver_opt" localSheetId="9" hidden="1">'Hard Currencies Q'!$B$13</definedName>
    <definedName name="solver_opt" localSheetId="2" hidden="1">Q1Eu1St!$K$18</definedName>
    <definedName name="solver_opt" localSheetId="3" hidden="1">Q1Eu2St!$N$18</definedName>
    <definedName name="solver_opt" localSheetId="4" hidden="1">Q1Eu3St!#REF!</definedName>
    <definedName name="solver_opt" localSheetId="5" hidden="1">Q3Am1St!$K$18</definedName>
    <definedName name="solver_opt" localSheetId="6" hidden="1">Q3Am2St!$N$18</definedName>
    <definedName name="solver_opt" localSheetId="7" hidden="1">Q3Am3St!#REF!</definedName>
    <definedName name="solver_opt" localSheetId="14" hidden="1">'Vornado European'!$N$18</definedName>
    <definedName name="solver_pre" localSheetId="22" hidden="1">0.000001</definedName>
    <definedName name="solver_pre" localSheetId="1" hidden="1">0.000001</definedName>
    <definedName name="solver_pre" localSheetId="23" hidden="1">0.000001</definedName>
    <definedName name="solver_pre" localSheetId="13" hidden="1">0.000001</definedName>
    <definedName name="solver_pre" localSheetId="26" hidden="1">0.000001</definedName>
    <definedName name="solver_pre" localSheetId="25" hidden="1">0.000001</definedName>
    <definedName name="solver_pre" localSheetId="29" hidden="1">0.000001</definedName>
    <definedName name="solver_pre" localSheetId="9" hidden="1">0.000001</definedName>
    <definedName name="solver_pre" localSheetId="2" hidden="1">0.000001</definedName>
    <definedName name="solver_pre" localSheetId="3" hidden="1">0.000001</definedName>
    <definedName name="solver_pre" localSheetId="4" hidden="1">0.000001</definedName>
    <definedName name="solver_pre" localSheetId="5" hidden="1">0.000001</definedName>
    <definedName name="solver_pre" localSheetId="6" hidden="1">0.000001</definedName>
    <definedName name="solver_pre" localSheetId="7" hidden="1">0.000001</definedName>
    <definedName name="solver_pre" localSheetId="14" hidden="1">0.000001</definedName>
    <definedName name="solver_rbv" localSheetId="22" hidden="1">2</definedName>
    <definedName name="solver_rbv" localSheetId="1" hidden="1">2</definedName>
    <definedName name="solver_rbv" localSheetId="23" hidden="1">2</definedName>
    <definedName name="solver_rbv" localSheetId="13" hidden="1">2</definedName>
    <definedName name="solver_rbv" localSheetId="26" hidden="1">2</definedName>
    <definedName name="solver_rbv" localSheetId="25" hidden="1">2</definedName>
    <definedName name="solver_rbv" localSheetId="29" hidden="1">2</definedName>
    <definedName name="solver_rbv" localSheetId="9" hidden="1">1</definedName>
    <definedName name="solver_rbv" localSheetId="2" hidden="1">2</definedName>
    <definedName name="solver_rbv" localSheetId="3" hidden="1">2</definedName>
    <definedName name="solver_rbv" localSheetId="4" hidden="1">2</definedName>
    <definedName name="solver_rbv" localSheetId="5" hidden="1">2</definedName>
    <definedName name="solver_rbv" localSheetId="6" hidden="1">2</definedName>
    <definedName name="solver_rbv" localSheetId="7" hidden="1">2</definedName>
    <definedName name="solver_rbv" localSheetId="14" hidden="1">2</definedName>
    <definedName name="solver_rel1" localSheetId="22" hidden="1">2</definedName>
    <definedName name="solver_rel1" localSheetId="1" hidden="1">2</definedName>
    <definedName name="solver_rel1" localSheetId="23" hidden="1">2</definedName>
    <definedName name="solver_rel1" localSheetId="13" hidden="1">2</definedName>
    <definedName name="solver_rel1" localSheetId="26" hidden="1">2</definedName>
    <definedName name="solver_rel1" localSheetId="25" hidden="1">2</definedName>
    <definedName name="solver_rel1" localSheetId="29" hidden="1">2</definedName>
    <definedName name="solver_rel1" localSheetId="9" hidden="1">3</definedName>
    <definedName name="solver_rel1" localSheetId="2" hidden="1">2</definedName>
    <definedName name="solver_rel1" localSheetId="3" hidden="1">2</definedName>
    <definedName name="solver_rel1" localSheetId="4" hidden="1">2</definedName>
    <definedName name="solver_rel1" localSheetId="5" hidden="1">2</definedName>
    <definedName name="solver_rel1" localSheetId="6" hidden="1">2</definedName>
    <definedName name="solver_rel1" localSheetId="7" hidden="1">2</definedName>
    <definedName name="solver_rel1" localSheetId="14" hidden="1">2</definedName>
    <definedName name="solver_rhs1" localSheetId="22" hidden="1">0.311</definedName>
    <definedName name="solver_rhs1" localSheetId="1" hidden="1">0.311</definedName>
    <definedName name="solver_rhs1" localSheetId="23" hidden="1">0.311</definedName>
    <definedName name="solver_rhs1" localSheetId="13" hidden="1">0.311</definedName>
    <definedName name="solver_rhs1" localSheetId="26" hidden="1">0.311</definedName>
    <definedName name="solver_rhs1" localSheetId="25" hidden="1">0.311</definedName>
    <definedName name="solver_rhs1" localSheetId="29" hidden="1">0.311</definedName>
    <definedName name="solver_rhs1" localSheetId="9" hidden="1">'Hard Currencies Q'!$B$2</definedName>
    <definedName name="solver_rhs1" localSheetId="2" hidden="1">0.311</definedName>
    <definedName name="solver_rhs1" localSheetId="3" hidden="1">0.311</definedName>
    <definedName name="solver_rhs1" localSheetId="4" hidden="1">0.311</definedName>
    <definedName name="solver_rhs1" localSheetId="5" hidden="1">0.311</definedName>
    <definedName name="solver_rhs1" localSheetId="6" hidden="1">0.311</definedName>
    <definedName name="solver_rhs1" localSheetId="7" hidden="1">0.311</definedName>
    <definedName name="solver_rhs1" localSheetId="14" hidden="1">0.311</definedName>
    <definedName name="solver_rlx" localSheetId="22" hidden="1">2</definedName>
    <definedName name="solver_rlx" localSheetId="1" hidden="1">2</definedName>
    <definedName name="solver_rlx" localSheetId="23" hidden="1">2</definedName>
    <definedName name="solver_rlx" localSheetId="13" hidden="1">2</definedName>
    <definedName name="solver_rlx" localSheetId="26" hidden="1">2</definedName>
    <definedName name="solver_rlx" localSheetId="25" hidden="1">2</definedName>
    <definedName name="solver_rlx" localSheetId="29" hidden="1">2</definedName>
    <definedName name="solver_rlx" localSheetId="9" hidden="1">2</definedName>
    <definedName name="solver_rlx" localSheetId="2" hidden="1">2</definedName>
    <definedName name="solver_rlx" localSheetId="3" hidden="1">2</definedName>
    <definedName name="solver_rlx" localSheetId="4" hidden="1">2</definedName>
    <definedName name="solver_rlx" localSheetId="5" hidden="1">2</definedName>
    <definedName name="solver_rlx" localSheetId="6" hidden="1">2</definedName>
    <definedName name="solver_rlx" localSheetId="7" hidden="1">2</definedName>
    <definedName name="solver_rlx" localSheetId="14" hidden="1">2</definedName>
    <definedName name="solver_rsd" localSheetId="22" hidden="1">0</definedName>
    <definedName name="solver_rsd" localSheetId="1" hidden="1">0</definedName>
    <definedName name="solver_rsd" localSheetId="23" hidden="1">0</definedName>
    <definedName name="solver_rsd" localSheetId="13" hidden="1">0</definedName>
    <definedName name="solver_rsd" localSheetId="26" hidden="1">0</definedName>
    <definedName name="solver_rsd" localSheetId="25" hidden="1">0</definedName>
    <definedName name="solver_rsd" localSheetId="29" hidden="1">0</definedName>
    <definedName name="solver_rsd" localSheetId="9" hidden="1">0</definedName>
    <definedName name="solver_rsd" localSheetId="2" hidden="1">0</definedName>
    <definedName name="solver_rsd" localSheetId="3" hidden="1">0</definedName>
    <definedName name="solver_rsd" localSheetId="4" hidden="1">0</definedName>
    <definedName name="solver_rsd" localSheetId="5" hidden="1">0</definedName>
    <definedName name="solver_rsd" localSheetId="6" hidden="1">0</definedName>
    <definedName name="solver_rsd" localSheetId="7" hidden="1">0</definedName>
    <definedName name="solver_rsd" localSheetId="14" hidden="1">0</definedName>
    <definedName name="solver_scl" localSheetId="22" hidden="1">2</definedName>
    <definedName name="solver_scl" localSheetId="1" hidden="1">2</definedName>
    <definedName name="solver_scl" localSheetId="23" hidden="1">2</definedName>
    <definedName name="solver_scl" localSheetId="13" hidden="1">2</definedName>
    <definedName name="solver_scl" localSheetId="26" hidden="1">2</definedName>
    <definedName name="solver_scl" localSheetId="25" hidden="1">2</definedName>
    <definedName name="solver_scl" localSheetId="29" hidden="1">2</definedName>
    <definedName name="solver_scl" localSheetId="9" hidden="1">1</definedName>
    <definedName name="solver_scl" localSheetId="2" hidden="1">2</definedName>
    <definedName name="solver_scl" localSheetId="3" hidden="1">2</definedName>
    <definedName name="solver_scl" localSheetId="4" hidden="1">2</definedName>
    <definedName name="solver_scl" localSheetId="5" hidden="1">2</definedName>
    <definedName name="solver_scl" localSheetId="6" hidden="1">2</definedName>
    <definedName name="solver_scl" localSheetId="7" hidden="1">2</definedName>
    <definedName name="solver_scl" localSheetId="14" hidden="1">2</definedName>
    <definedName name="solver_sho" localSheetId="22" hidden="1">2</definedName>
    <definedName name="solver_sho" localSheetId="1" hidden="1">2</definedName>
    <definedName name="solver_sho" localSheetId="23" hidden="1">2</definedName>
    <definedName name="solver_sho" localSheetId="13" hidden="1">2</definedName>
    <definedName name="solver_sho" localSheetId="26" hidden="1">2</definedName>
    <definedName name="solver_sho" localSheetId="25" hidden="1">2</definedName>
    <definedName name="solver_sho" localSheetId="29" hidden="1">2</definedName>
    <definedName name="solver_sho" localSheetId="9" hidden="1">2</definedName>
    <definedName name="solver_sho" localSheetId="2" hidden="1">2</definedName>
    <definedName name="solver_sho" localSheetId="3" hidden="1">2</definedName>
    <definedName name="solver_sho" localSheetId="4" hidden="1">2</definedName>
    <definedName name="solver_sho" localSheetId="5" hidden="1">2</definedName>
    <definedName name="solver_sho" localSheetId="6" hidden="1">2</definedName>
    <definedName name="solver_sho" localSheetId="7" hidden="1">2</definedName>
    <definedName name="solver_sho" localSheetId="14" hidden="1">2</definedName>
    <definedName name="solver_ssz" localSheetId="22" hidden="1">100</definedName>
    <definedName name="solver_ssz" localSheetId="1" hidden="1">100</definedName>
    <definedName name="solver_ssz" localSheetId="23" hidden="1">100</definedName>
    <definedName name="solver_ssz" localSheetId="13" hidden="1">100</definedName>
    <definedName name="solver_ssz" localSheetId="26" hidden="1">100</definedName>
    <definedName name="solver_ssz" localSheetId="25" hidden="1">100</definedName>
    <definedName name="solver_ssz" localSheetId="29" hidden="1">100</definedName>
    <definedName name="solver_ssz" localSheetId="9" hidden="1">100</definedName>
    <definedName name="solver_ssz" localSheetId="2" hidden="1">100</definedName>
    <definedName name="solver_ssz" localSheetId="3" hidden="1">100</definedName>
    <definedName name="solver_ssz" localSheetId="4" hidden="1">100</definedName>
    <definedName name="solver_ssz" localSheetId="5" hidden="1">100</definedName>
    <definedName name="solver_ssz" localSheetId="6" hidden="1">100</definedName>
    <definedName name="solver_ssz" localSheetId="7" hidden="1">100</definedName>
    <definedName name="solver_ssz" localSheetId="14" hidden="1">100</definedName>
    <definedName name="solver_tim" localSheetId="22" hidden="1">2147483647</definedName>
    <definedName name="solver_tim" localSheetId="1" hidden="1">2147483647</definedName>
    <definedName name="solver_tim" localSheetId="23" hidden="1">2147483647</definedName>
    <definedName name="solver_tim" localSheetId="13" hidden="1">2147483647</definedName>
    <definedName name="solver_tim" localSheetId="26" hidden="1">2147483647</definedName>
    <definedName name="solver_tim" localSheetId="25" hidden="1">2147483647</definedName>
    <definedName name="solver_tim" localSheetId="29" hidden="1">2147483647</definedName>
    <definedName name="solver_tim" localSheetId="9" hidden="1">2147483647</definedName>
    <definedName name="solver_tim" localSheetId="2" hidden="1">2147483647</definedName>
    <definedName name="solver_tim" localSheetId="3" hidden="1">2147483647</definedName>
    <definedName name="solver_tim" localSheetId="4" hidden="1">2147483647</definedName>
    <definedName name="solver_tim" localSheetId="5" hidden="1">2147483647</definedName>
    <definedName name="solver_tim" localSheetId="6" hidden="1">2147483647</definedName>
    <definedName name="solver_tim" localSheetId="7" hidden="1">2147483647</definedName>
    <definedName name="solver_tim" localSheetId="14" hidden="1">2147483647</definedName>
    <definedName name="solver_tol" localSheetId="22" hidden="1">0.01</definedName>
    <definedName name="solver_tol" localSheetId="1" hidden="1">0.01</definedName>
    <definedName name="solver_tol" localSheetId="23" hidden="1">0.01</definedName>
    <definedName name="solver_tol" localSheetId="13" hidden="1">0.01</definedName>
    <definedName name="solver_tol" localSheetId="26" hidden="1">0.01</definedName>
    <definedName name="solver_tol" localSheetId="25" hidden="1">0.01</definedName>
    <definedName name="solver_tol" localSheetId="29" hidden="1">0.01</definedName>
    <definedName name="solver_tol" localSheetId="9" hidden="1">0.01</definedName>
    <definedName name="solver_tol" localSheetId="2" hidden="1">0.01</definedName>
    <definedName name="solver_tol" localSheetId="3" hidden="1">0.01</definedName>
    <definedName name="solver_tol" localSheetId="4" hidden="1">0.01</definedName>
    <definedName name="solver_tol" localSheetId="5" hidden="1">0.01</definedName>
    <definedName name="solver_tol" localSheetId="6" hidden="1">0.01</definedName>
    <definedName name="solver_tol" localSheetId="7" hidden="1">0.01</definedName>
    <definedName name="solver_tol" localSheetId="14" hidden="1">0.01</definedName>
    <definedName name="solver_typ" localSheetId="22" hidden="1">3</definedName>
    <definedName name="solver_typ" localSheetId="1" hidden="1">3</definedName>
    <definedName name="solver_typ" localSheetId="23" hidden="1">3</definedName>
    <definedName name="solver_typ" localSheetId="13" hidden="1">3</definedName>
    <definedName name="solver_typ" localSheetId="26" hidden="1">3</definedName>
    <definedName name="solver_typ" localSheetId="25" hidden="1">3</definedName>
    <definedName name="solver_typ" localSheetId="29" hidden="1">3</definedName>
    <definedName name="solver_typ" localSheetId="9" hidden="1">1</definedName>
    <definedName name="solver_typ" localSheetId="2" hidden="1">3</definedName>
    <definedName name="solver_typ" localSheetId="3" hidden="1">3</definedName>
    <definedName name="solver_typ" localSheetId="4" hidden="1">3</definedName>
    <definedName name="solver_typ" localSheetId="5" hidden="1">3</definedName>
    <definedName name="solver_typ" localSheetId="6" hidden="1">3</definedName>
    <definedName name="solver_typ" localSheetId="7" hidden="1">3</definedName>
    <definedName name="solver_typ" localSheetId="14" hidden="1">3</definedName>
    <definedName name="solver_val" localSheetId="22" hidden="1">0.0952</definedName>
    <definedName name="solver_val" localSheetId="1" hidden="1">0.0952</definedName>
    <definedName name="solver_val" localSheetId="23" hidden="1">0.0952</definedName>
    <definedName name="solver_val" localSheetId="13" hidden="1">0.0952</definedName>
    <definedName name="solver_val" localSheetId="26" hidden="1">0.0952</definedName>
    <definedName name="solver_val" localSheetId="25" hidden="1">0.0952</definedName>
    <definedName name="solver_val" localSheetId="29" hidden="1">0.0952</definedName>
    <definedName name="solver_val" localSheetId="9" hidden="1">0</definedName>
    <definedName name="solver_val" localSheetId="2" hidden="1">0.0952</definedName>
    <definedName name="solver_val" localSheetId="3" hidden="1">0.0952</definedName>
    <definedName name="solver_val" localSheetId="4" hidden="1">0.0952</definedName>
    <definedName name="solver_val" localSheetId="5" hidden="1">0.0952</definedName>
    <definedName name="solver_val" localSheetId="6" hidden="1">0.0952</definedName>
    <definedName name="solver_val" localSheetId="7" hidden="1">0.0952</definedName>
    <definedName name="solver_val" localSheetId="14" hidden="1">0.0952</definedName>
    <definedName name="solver_ver" localSheetId="22" hidden="1">3</definedName>
    <definedName name="solver_ver" localSheetId="1" hidden="1">3</definedName>
    <definedName name="solver_ver" localSheetId="23" hidden="1">3</definedName>
    <definedName name="solver_ver" localSheetId="13" hidden="1">3</definedName>
    <definedName name="solver_ver" localSheetId="26" hidden="1">3</definedName>
    <definedName name="solver_ver" localSheetId="25" hidden="1">3</definedName>
    <definedName name="solver_ver" localSheetId="29" hidden="1">3</definedName>
    <definedName name="solver_ver" localSheetId="9" hidden="1">3</definedName>
    <definedName name="solver_ver" localSheetId="2" hidden="1">3</definedName>
    <definedName name="solver_ver" localSheetId="3" hidden="1">3</definedName>
    <definedName name="solver_ver" localSheetId="4" hidden="1">3</definedName>
    <definedName name="solver_ver" localSheetId="5" hidden="1">3</definedName>
    <definedName name="solver_ver" localSheetId="6" hidden="1">3</definedName>
    <definedName name="solver_ver" localSheetId="7" hidden="1">3</definedName>
    <definedName name="solver_ver" localSheetId="14" hidden="1">3</definedName>
    <definedName name="TRNR_020d048ac14a42ea8e11660bbdc45719_523_1" hidden="1">[1]Q3!#REF!</definedName>
    <definedName name="TRNR_0414292fa83146c793c3ae592bd0ddfc_262_1" hidden="1">#REF!</definedName>
    <definedName name="TRNR_04aa926a1d8c48c78b0686485ac5b0f7_245_1" hidden="1">#REF!</definedName>
    <definedName name="TRNR_210a51f6140a45db9cbe6589705d1b81_523_1" localSheetId="22" hidden="1">#REF!</definedName>
    <definedName name="TRNR_210a51f6140a45db9cbe6589705d1b81_523_1" localSheetId="1" hidden="1">#REF!</definedName>
    <definedName name="TRNR_210a51f6140a45db9cbe6589705d1b81_523_1" localSheetId="23" hidden="1">#REF!</definedName>
    <definedName name="TRNR_210a51f6140a45db9cbe6589705d1b81_523_1" localSheetId="13" hidden="1">#REF!</definedName>
    <definedName name="TRNR_210a51f6140a45db9cbe6589705d1b81_523_1" localSheetId="26" hidden="1">#REF!</definedName>
    <definedName name="TRNR_210a51f6140a45db9cbe6589705d1b81_523_1" localSheetId="25" hidden="1">#REF!</definedName>
    <definedName name="TRNR_210a51f6140a45db9cbe6589705d1b81_523_1" localSheetId="29" hidden="1">#REF!</definedName>
    <definedName name="TRNR_210a51f6140a45db9cbe6589705d1b81_523_1" localSheetId="2" hidden="1">#REF!</definedName>
    <definedName name="TRNR_210a51f6140a45db9cbe6589705d1b81_523_1" localSheetId="4" hidden="1">#REF!</definedName>
    <definedName name="TRNR_210a51f6140a45db9cbe6589705d1b81_523_1" localSheetId="5" hidden="1">#REF!</definedName>
    <definedName name="TRNR_210a51f6140a45db9cbe6589705d1b81_523_1" localSheetId="6" hidden="1">#REF!</definedName>
    <definedName name="TRNR_210a51f6140a45db9cbe6589705d1b81_523_1" localSheetId="7" hidden="1">#REF!</definedName>
    <definedName name="TRNR_210a51f6140a45db9cbe6589705d1b81_523_1" hidden="1">#REF!</definedName>
    <definedName name="TRNR_44ea9c2705784c49b2c0be4f97235c93_262_1" localSheetId="22" hidden="1">#REF!</definedName>
    <definedName name="TRNR_44ea9c2705784c49b2c0be4f97235c93_262_1" localSheetId="1" hidden="1">#REF!</definedName>
    <definedName name="TRNR_44ea9c2705784c49b2c0be4f97235c93_262_1" localSheetId="23" hidden="1">#REF!</definedName>
    <definedName name="TRNR_44ea9c2705784c49b2c0be4f97235c93_262_1" localSheetId="13" hidden="1">#REF!</definedName>
    <definedName name="TRNR_44ea9c2705784c49b2c0be4f97235c93_262_1" localSheetId="26" hidden="1">#REF!</definedName>
    <definedName name="TRNR_44ea9c2705784c49b2c0be4f97235c93_262_1" localSheetId="25" hidden="1">#REF!</definedName>
    <definedName name="TRNR_44ea9c2705784c49b2c0be4f97235c93_262_1" localSheetId="29" hidden="1">#REF!</definedName>
    <definedName name="TRNR_44ea9c2705784c49b2c0be4f97235c93_262_1" localSheetId="2" hidden="1">#REF!</definedName>
    <definedName name="TRNR_44ea9c2705784c49b2c0be4f97235c93_262_1" localSheetId="4" hidden="1">#REF!</definedName>
    <definedName name="TRNR_44ea9c2705784c49b2c0be4f97235c93_262_1" localSheetId="5" hidden="1">#REF!</definedName>
    <definedName name="TRNR_44ea9c2705784c49b2c0be4f97235c93_262_1" localSheetId="6" hidden="1">#REF!</definedName>
    <definedName name="TRNR_44ea9c2705784c49b2c0be4f97235c93_262_1" localSheetId="7" hidden="1">#REF!</definedName>
    <definedName name="TRNR_44ea9c2705784c49b2c0be4f97235c93_262_1" hidden="1">#REF!</definedName>
    <definedName name="TRNR_586298749ab94124b1c107aef2be2061_523_1" localSheetId="22" hidden="1">#REF!</definedName>
    <definedName name="TRNR_586298749ab94124b1c107aef2be2061_523_1" localSheetId="1" hidden="1">#REF!</definedName>
    <definedName name="TRNR_586298749ab94124b1c107aef2be2061_523_1" localSheetId="23" hidden="1">#REF!</definedName>
    <definedName name="TRNR_586298749ab94124b1c107aef2be2061_523_1" localSheetId="13" hidden="1">#REF!</definedName>
    <definedName name="TRNR_586298749ab94124b1c107aef2be2061_523_1" localSheetId="26" hidden="1">#REF!</definedName>
    <definedName name="TRNR_586298749ab94124b1c107aef2be2061_523_1" localSheetId="25" hidden="1">#REF!</definedName>
    <definedName name="TRNR_586298749ab94124b1c107aef2be2061_523_1" localSheetId="29" hidden="1">#REF!</definedName>
    <definedName name="TRNR_586298749ab94124b1c107aef2be2061_523_1" localSheetId="2" hidden="1">#REF!</definedName>
    <definedName name="TRNR_586298749ab94124b1c107aef2be2061_523_1" localSheetId="4" hidden="1">#REF!</definedName>
    <definedName name="TRNR_586298749ab94124b1c107aef2be2061_523_1" localSheetId="5" hidden="1">#REF!</definedName>
    <definedName name="TRNR_586298749ab94124b1c107aef2be2061_523_1" localSheetId="6" hidden="1">#REF!</definedName>
    <definedName name="TRNR_586298749ab94124b1c107aef2be2061_523_1" localSheetId="7" hidden="1">#REF!</definedName>
    <definedName name="TRNR_586298749ab94124b1c107aef2be2061_523_1" hidden="1">#REF!</definedName>
    <definedName name="TRNR_97d17e5a40454ed4a207555927f33439_1506_4" hidden="1">#REF!</definedName>
    <definedName name="TRNR_9b88829365ae4d5fbbcd40a834afee76_262_1" hidden="1">#REF!</definedName>
    <definedName name="TRNR_a844a7419a354477825c0cad367ae98d_262_1" hidden="1">#REF!</definedName>
    <definedName name="TRNR_c1ff2fb770114c318c5401a90dcdc76e_523_1" hidden="1">[1]Q3!#REF!</definedName>
    <definedName name="TRNR_cd7285ccbcb64015ad485ef5fd52260e_245_1" hidden="1">#REF!</definedName>
    <definedName name="TRNR_e224ca12e03a428d9dce4d41e2a3f001_262_1" hidden="1">#REF!</definedName>
    <definedName name="TRNR_e9764f199b734cd788f603c367b342bd_262_1" hidden="1">#REF!</definedName>
    <definedName name="TRNR_fdaccc2d9020482396fe33d4adf4c77e_523_1"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50" l="1"/>
  <c r="B8" i="50"/>
  <c r="C10" i="50"/>
  <c r="C11" i="50"/>
  <c r="C19" i="27"/>
  <c r="C14" i="34"/>
  <c r="D14" i="34"/>
  <c r="C13" i="34"/>
  <c r="C15" i="34"/>
  <c r="C18" i="34"/>
  <c r="C17" i="34"/>
  <c r="G17" i="34"/>
  <c r="C13" i="50"/>
  <c r="L6" i="44"/>
  <c r="D20" i="51"/>
  <c r="C20" i="28"/>
  <c r="C19" i="28"/>
  <c r="C20" i="27"/>
  <c r="C23" i="27"/>
  <c r="C22" i="27"/>
  <c r="C21" i="27"/>
  <c r="B20" i="48"/>
  <c r="B15" i="48"/>
  <c r="B10" i="48"/>
  <c r="B7" i="48"/>
  <c r="C11" i="45"/>
  <c r="C12" i="45" s="1"/>
  <c r="C10" i="45"/>
  <c r="C9" i="45"/>
  <c r="C12" i="50"/>
  <c r="B12" i="50"/>
  <c r="B11" i="50"/>
  <c r="I17" i="39"/>
  <c r="N17" i="39"/>
  <c r="I4" i="54"/>
  <c r="I2" i="54"/>
  <c r="I3" i="54"/>
  <c r="C12" i="34"/>
  <c r="C16" i="54" l="1"/>
  <c r="C15" i="54"/>
  <c r="C14" i="54"/>
  <c r="C13" i="54"/>
  <c r="C12" i="54"/>
  <c r="C11" i="54"/>
  <c r="C10" i="54"/>
  <c r="C9" i="54"/>
  <c r="C8" i="54"/>
  <c r="C7" i="54"/>
  <c r="C6" i="54"/>
  <c r="C5" i="54"/>
  <c r="F8" i="54" s="1"/>
  <c r="F9" i="54" s="1"/>
  <c r="F10" i="54" s="1"/>
  <c r="F4" i="54"/>
  <c r="C4" i="54"/>
  <c r="C3" i="54"/>
  <c r="I1" i="54"/>
  <c r="F11" i="54" l="1"/>
  <c r="F14" i="54"/>
  <c r="F12" i="54"/>
  <c r="I6" i="54" l="1"/>
  <c r="I5" i="54"/>
  <c r="F15" i="54"/>
  <c r="F17" i="54" s="1"/>
  <c r="F13" i="54"/>
  <c r="F16" i="54" s="1"/>
  <c r="I7" i="54" l="1"/>
  <c r="B13" i="50" l="1"/>
  <c r="B10" i="50"/>
  <c r="G13" i="34"/>
  <c r="B39" i="49"/>
  <c r="B38" i="49"/>
  <c r="F32" i="49"/>
  <c r="E10" i="40"/>
  <c r="D9" i="40"/>
  <c r="B19" i="48"/>
  <c r="B14" i="48"/>
  <c r="E12" i="45"/>
  <c r="E11" i="45"/>
  <c r="D6" i="47"/>
  <c r="D17" i="53"/>
  <c r="D19" i="53" s="1"/>
  <c r="C29" i="53"/>
  <c r="E19" i="53"/>
  <c r="E18" i="53"/>
  <c r="D18" i="53"/>
  <c r="E17" i="53"/>
  <c r="E14" i="53"/>
  <c r="D14" i="53"/>
  <c r="C13" i="53"/>
  <c r="E13" i="53" s="1"/>
  <c r="E15" i="53" s="1"/>
  <c r="E9" i="53"/>
  <c r="D6" i="53"/>
  <c r="E6" i="53" s="1"/>
  <c r="D5" i="53"/>
  <c r="E5" i="53" s="1"/>
  <c r="D4" i="53"/>
  <c r="E4" i="53" s="1"/>
  <c r="N13" i="52"/>
  <c r="M13" i="52"/>
  <c r="L13" i="52"/>
  <c r="K13" i="52"/>
  <c r="J13" i="52"/>
  <c r="I13" i="52"/>
  <c r="H13" i="52"/>
  <c r="G13" i="52"/>
  <c r="F13" i="52"/>
  <c r="E13" i="52"/>
  <c r="D13" i="52"/>
  <c r="C13" i="52"/>
  <c r="C8" i="52"/>
  <c r="N5" i="52"/>
  <c r="M5" i="52"/>
  <c r="L5" i="52"/>
  <c r="K5" i="52"/>
  <c r="J5" i="52"/>
  <c r="I5" i="52"/>
  <c r="I4" i="52" s="1"/>
  <c r="H5" i="52"/>
  <c r="H4" i="52" s="1"/>
  <c r="G5" i="52"/>
  <c r="G4" i="52" s="1"/>
  <c r="F5" i="52"/>
  <c r="F4" i="52" s="1"/>
  <c r="E5" i="52"/>
  <c r="E4" i="52" s="1"/>
  <c r="D5" i="52"/>
  <c r="D4" i="52" s="1"/>
  <c r="C5" i="52"/>
  <c r="C4" i="52" s="1"/>
  <c r="N4" i="52"/>
  <c r="M4" i="52"/>
  <c r="L4" i="52"/>
  <c r="K4" i="52"/>
  <c r="J4" i="52"/>
  <c r="N2" i="52"/>
  <c r="M2" i="52"/>
  <c r="L2" i="52"/>
  <c r="K2" i="52"/>
  <c r="J2" i="52"/>
  <c r="I2" i="52"/>
  <c r="I11" i="52" s="1"/>
  <c r="H2" i="52"/>
  <c r="H8" i="52" s="1"/>
  <c r="G2" i="52"/>
  <c r="F2" i="52"/>
  <c r="E2" i="52"/>
  <c r="D2" i="52"/>
  <c r="C2" i="52"/>
  <c r="G14" i="52" l="1"/>
  <c r="J14" i="52"/>
  <c r="J15" i="52" s="1"/>
  <c r="L14" i="52"/>
  <c r="L18" i="52" s="1"/>
  <c r="M14" i="52"/>
  <c r="N14" i="52"/>
  <c r="N18" i="52" s="1"/>
  <c r="D22" i="53"/>
  <c r="E22" i="53"/>
  <c r="D21" i="53"/>
  <c r="D23" i="53" s="1"/>
  <c r="D25" i="53" s="1"/>
  <c r="D29" i="53" s="1"/>
  <c r="E21" i="53"/>
  <c r="E23" i="53" s="1"/>
  <c r="E25" i="53" s="1"/>
  <c r="E29" i="53" s="1"/>
  <c r="D13" i="53"/>
  <c r="D15" i="53" s="1"/>
  <c r="C14" i="52"/>
  <c r="M18" i="52"/>
  <c r="M16" i="52"/>
  <c r="M15" i="52"/>
  <c r="C11" i="52"/>
  <c r="E14" i="52"/>
  <c r="F14" i="52"/>
  <c r="D14" i="52"/>
  <c r="J18" i="52"/>
  <c r="G18" i="52"/>
  <c r="G16" i="52"/>
  <c r="G15" i="52"/>
  <c r="G11" i="52"/>
  <c r="H11" i="52"/>
  <c r="H14" i="52"/>
  <c r="I8" i="52"/>
  <c r="I14" i="52"/>
  <c r="K8" i="52"/>
  <c r="K11" i="52"/>
  <c r="K14" i="52"/>
  <c r="D8" i="52"/>
  <c r="D11" i="52"/>
  <c r="E8" i="52"/>
  <c r="E11" i="52"/>
  <c r="F8" i="52"/>
  <c r="F11" i="52"/>
  <c r="G8" i="52"/>
  <c r="J8" i="52"/>
  <c r="J11" i="52"/>
  <c r="L8" i="52"/>
  <c r="L11" i="52"/>
  <c r="M8" i="52"/>
  <c r="M11" i="52"/>
  <c r="N8" i="52"/>
  <c r="N11" i="52"/>
  <c r="J16" i="52" l="1"/>
  <c r="N15" i="52"/>
  <c r="N16" i="52"/>
  <c r="L15" i="52"/>
  <c r="L16" i="52"/>
  <c r="D27" i="53"/>
  <c r="E27" i="53"/>
  <c r="J7" i="52"/>
  <c r="C16" i="52"/>
  <c r="C15" i="52"/>
  <c r="C18" i="52"/>
  <c r="M17" i="52"/>
  <c r="M7" i="52" s="1"/>
  <c r="M9" i="52" s="1"/>
  <c r="M19" i="52"/>
  <c r="M10" i="52" s="1"/>
  <c r="M12" i="52" s="1"/>
  <c r="G19" i="52"/>
  <c r="G10" i="52" s="1"/>
  <c r="G12" i="52" s="1"/>
  <c r="G17" i="52"/>
  <c r="G7" i="52" s="1"/>
  <c r="I15" i="52"/>
  <c r="I18" i="52"/>
  <c r="I16" i="52"/>
  <c r="E18" i="52"/>
  <c r="E15" i="52"/>
  <c r="E16" i="52"/>
  <c r="K18" i="52"/>
  <c r="K16" i="52"/>
  <c r="K15" i="52"/>
  <c r="F18" i="52"/>
  <c r="F15" i="52"/>
  <c r="F16" i="52"/>
  <c r="J19" i="52"/>
  <c r="J10" i="52" s="1"/>
  <c r="J12" i="52" s="1"/>
  <c r="J17" i="52"/>
  <c r="D18" i="52"/>
  <c r="D16" i="52"/>
  <c r="D15" i="52"/>
  <c r="L17" i="52"/>
  <c r="L7" i="52" s="1"/>
  <c r="L9" i="52" s="1"/>
  <c r="L19" i="52"/>
  <c r="L10" i="52" s="1"/>
  <c r="L12" i="52" s="1"/>
  <c r="N19" i="52"/>
  <c r="N10" i="52" s="1"/>
  <c r="N12" i="52" s="1"/>
  <c r="N17" i="52"/>
  <c r="N7" i="52" s="1"/>
  <c r="N9" i="52" s="1"/>
  <c r="H18" i="52"/>
  <c r="H15" i="52"/>
  <c r="H16" i="52"/>
  <c r="C19" i="52" l="1"/>
  <c r="C10" i="52" s="1"/>
  <c r="C12" i="52" s="1"/>
  <c r="C17" i="52"/>
  <c r="C7" i="52" s="1"/>
  <c r="C9" i="52" s="1"/>
  <c r="G9" i="52"/>
  <c r="F19" i="52"/>
  <c r="F10" i="52" s="1"/>
  <c r="F12" i="52" s="1"/>
  <c r="F17" i="52"/>
  <c r="E17" i="52"/>
  <c r="E7" i="52" s="1"/>
  <c r="E9" i="52" s="1"/>
  <c r="E19" i="52"/>
  <c r="E10" i="52" s="1"/>
  <c r="E12" i="52" s="1"/>
  <c r="H7" i="52"/>
  <c r="K17" i="52"/>
  <c r="K7" i="52" s="1"/>
  <c r="K9" i="52" s="1"/>
  <c r="K19" i="52"/>
  <c r="K10" i="52" s="1"/>
  <c r="K12" i="52" s="1"/>
  <c r="D19" i="52"/>
  <c r="D10" i="52" s="1"/>
  <c r="D12" i="52" s="1"/>
  <c r="D17" i="52"/>
  <c r="D7" i="52" s="1"/>
  <c r="D9" i="52" s="1"/>
  <c r="J9" i="52"/>
  <c r="J21" i="52"/>
  <c r="I19" i="52"/>
  <c r="I10" i="52" s="1"/>
  <c r="I12" i="52" s="1"/>
  <c r="I17" i="52"/>
  <c r="I7" i="52" s="1"/>
  <c r="F7" i="52"/>
  <c r="F9" i="52" s="1"/>
  <c r="H19" i="52"/>
  <c r="H10" i="52" s="1"/>
  <c r="H12" i="52" s="1"/>
  <c r="H17" i="52"/>
  <c r="I9" i="52" l="1"/>
  <c r="I21" i="52"/>
  <c r="G21" i="52"/>
  <c r="H21" i="52"/>
  <c r="H9" i="52"/>
  <c r="C17" i="19" l="1"/>
  <c r="C17" i="2"/>
  <c r="C16" i="2" s="1"/>
  <c r="C19" i="19"/>
  <c r="T17" i="19"/>
  <c r="T16" i="19" s="1"/>
  <c r="C6" i="19"/>
  <c r="I5" i="27"/>
  <c r="E29" i="51"/>
  <c r="D29" i="51"/>
  <c r="C29" i="51"/>
  <c r="E28" i="51"/>
  <c r="D28" i="51"/>
  <c r="C28" i="51"/>
  <c r="E25" i="51"/>
  <c r="D25" i="51"/>
  <c r="C25" i="51"/>
  <c r="E24" i="51"/>
  <c r="C24" i="51"/>
  <c r="E20" i="51"/>
  <c r="E22" i="51" s="1"/>
  <c r="E26" i="51" s="1"/>
  <c r="E30" i="51" s="1"/>
  <c r="D21" i="51"/>
  <c r="C20" i="51"/>
  <c r="C22" i="51" s="1"/>
  <c r="C26" i="51" s="1"/>
  <c r="C30" i="51" s="1"/>
  <c r="E18" i="51"/>
  <c r="D18" i="51"/>
  <c r="C18" i="51"/>
  <c r="B9" i="51"/>
  <c r="L6" i="51"/>
  <c r="D24" i="51" s="1"/>
  <c r="D26" i="51" s="1"/>
  <c r="D30" i="51" s="1"/>
  <c r="D23" i="26"/>
  <c r="C21" i="28"/>
  <c r="R3" i="28"/>
  <c r="I16" i="27"/>
  <c r="C21" i="2" l="1"/>
  <c r="C18" i="2"/>
  <c r="C19" i="2" l="1"/>
  <c r="C4" i="2"/>
  <c r="C17" i="28" l="1"/>
  <c r="F11" i="45" l="1"/>
  <c r="D11" i="45"/>
  <c r="N8" i="42"/>
  <c r="N4" i="42"/>
  <c r="L6" i="42"/>
  <c r="C4" i="42"/>
  <c r="I8" i="42"/>
  <c r="F4" i="30"/>
  <c r="I17" i="27"/>
  <c r="J5" i="27"/>
  <c r="C24" i="27"/>
  <c r="C21" i="41"/>
  <c r="E11" i="40"/>
  <c r="D11" i="40"/>
  <c r="D14" i="40" s="1"/>
  <c r="E8" i="40"/>
  <c r="D8" i="40"/>
  <c r="F33" i="49"/>
  <c r="G32" i="49"/>
  <c r="G31" i="49"/>
  <c r="B41" i="49" s="1"/>
  <c r="F31" i="49"/>
  <c r="G33" i="49"/>
  <c r="B42" i="49"/>
  <c r="B37" i="49"/>
  <c r="B36" i="49"/>
  <c r="H33" i="49"/>
  <c r="B23" i="49"/>
  <c r="G13" i="49"/>
  <c r="B21" i="49"/>
  <c r="B20" i="49"/>
  <c r="I11" i="49"/>
  <c r="J11" i="49"/>
  <c r="H11" i="49"/>
  <c r="B17" i="49"/>
  <c r="B16" i="49"/>
  <c r="B12" i="49"/>
  <c r="B11" i="49"/>
  <c r="D9" i="49"/>
  <c r="B16" i="48"/>
  <c r="B13" i="48"/>
  <c r="C18" i="48"/>
  <c r="E16" i="48"/>
  <c r="D16" i="48"/>
  <c r="C16" i="48"/>
  <c r="E13" i="48"/>
  <c r="D13" i="48"/>
  <c r="C13" i="48"/>
  <c r="E19" i="48"/>
  <c r="B8" i="48"/>
  <c r="B18" i="48" s="1"/>
  <c r="H31" i="49" l="1"/>
  <c r="H32" i="49"/>
  <c r="B40" i="49"/>
  <c r="B43" i="49" s="1"/>
  <c r="C15" i="48"/>
  <c r="D18" i="48"/>
  <c r="E15" i="48"/>
  <c r="E18" i="48"/>
  <c r="C19" i="48"/>
  <c r="D19" i="48"/>
  <c r="B17" i="48"/>
  <c r="C14" i="48"/>
  <c r="C20" i="48" s="1"/>
  <c r="C17" i="48"/>
  <c r="D14" i="48"/>
  <c r="D17" i="48"/>
  <c r="E14" i="48"/>
  <c r="E20" i="48" s="1"/>
  <c r="E17" i="48"/>
  <c r="D15" i="48"/>
  <c r="B22" i="48" l="1"/>
  <c r="D20" i="48"/>
  <c r="F12" i="47" l="1"/>
  <c r="E12" i="47"/>
  <c r="D12" i="47"/>
  <c r="F11" i="47"/>
  <c r="E11" i="47"/>
  <c r="D11" i="47"/>
  <c r="F10" i="47"/>
  <c r="E10" i="47"/>
  <c r="D10" i="47"/>
  <c r="F6" i="47"/>
  <c r="E6" i="47"/>
  <c r="D8" i="47"/>
  <c r="F5" i="47"/>
  <c r="E5" i="47"/>
  <c r="D5" i="47"/>
  <c r="F8" i="47"/>
  <c r="D12" i="45"/>
  <c r="F9" i="45"/>
  <c r="F12" i="45"/>
  <c r="F10" i="45"/>
  <c r="E10" i="45"/>
  <c r="D10" i="45"/>
  <c r="E9" i="45"/>
  <c r="D9" i="45"/>
  <c r="F6" i="45"/>
  <c r="E6" i="45"/>
  <c r="D6" i="45"/>
  <c r="C6" i="45"/>
  <c r="F5" i="45"/>
  <c r="E5" i="45"/>
  <c r="D5" i="45"/>
  <c r="C5" i="45"/>
  <c r="C6" i="44"/>
  <c r="C13" i="44"/>
  <c r="C14" i="44" s="1"/>
  <c r="L4" i="44"/>
  <c r="J5" i="44"/>
  <c r="J6" i="44"/>
  <c r="J7" i="44"/>
  <c r="J8" i="44"/>
  <c r="J9" i="44"/>
  <c r="J10" i="44"/>
  <c r="J11" i="44"/>
  <c r="J12" i="44"/>
  <c r="J13" i="44"/>
  <c r="J14" i="44"/>
  <c r="J15" i="44"/>
  <c r="J16" i="44"/>
  <c r="J17" i="44"/>
  <c r="J18" i="44"/>
  <c r="J19" i="44"/>
  <c r="J20" i="44"/>
  <c r="J21" i="44"/>
  <c r="J22" i="44"/>
  <c r="J23" i="44"/>
  <c r="J24" i="44"/>
  <c r="J25" i="44"/>
  <c r="J26" i="44"/>
  <c r="J27" i="44"/>
  <c r="J28" i="44"/>
  <c r="J29" i="44"/>
  <c r="J30" i="44"/>
  <c r="J31" i="44"/>
  <c r="J32" i="44"/>
  <c r="J33" i="44"/>
  <c r="J34" i="44"/>
  <c r="J35" i="44"/>
  <c r="J36" i="44"/>
  <c r="J37" i="44"/>
  <c r="J38" i="44"/>
  <c r="J39" i="44"/>
  <c r="J4" i="44"/>
  <c r="C11" i="44"/>
  <c r="C8" i="44"/>
  <c r="AB14" i="43"/>
  <c r="AB12" i="43" s="1"/>
  <c r="Z12" i="43" s="1"/>
  <c r="AD14" i="43"/>
  <c r="C18" i="43"/>
  <c r="C7" i="43"/>
  <c r="X18" i="43"/>
  <c r="P18" i="43"/>
  <c r="C17" i="43"/>
  <c r="C16" i="43"/>
  <c r="C8" i="43"/>
  <c r="I18" i="43" s="1"/>
  <c r="L18" i="43" s="1"/>
  <c r="N18" i="43" s="1"/>
  <c r="C13" i="43"/>
  <c r="C10" i="43"/>
  <c r="T6" i="42"/>
  <c r="C7" i="42"/>
  <c r="C19" i="42"/>
  <c r="C18" i="42"/>
  <c r="X18" i="42"/>
  <c r="P18" i="42"/>
  <c r="C17" i="42"/>
  <c r="C16" i="42"/>
  <c r="G10" i="42"/>
  <c r="C10" i="42"/>
  <c r="C22" i="34"/>
  <c r="E8" i="47" l="1"/>
  <c r="G12" i="45"/>
  <c r="C16" i="44"/>
  <c r="C15" i="44"/>
  <c r="C18" i="44"/>
  <c r="Z18" i="43"/>
  <c r="AB18" i="43" s="1"/>
  <c r="AD18" i="43" s="1"/>
  <c r="C21" i="43"/>
  <c r="R18" i="43"/>
  <c r="T18" i="43" s="1"/>
  <c r="V18" i="43" s="1"/>
  <c r="G10" i="43"/>
  <c r="I10" i="43" s="1"/>
  <c r="C21" i="42"/>
  <c r="I18" i="42"/>
  <c r="L18" i="42" s="1"/>
  <c r="N18" i="42" s="1"/>
  <c r="Z18" i="42"/>
  <c r="AB18" i="42" s="1"/>
  <c r="AD18" i="42" s="1"/>
  <c r="R18" i="42"/>
  <c r="T18" i="42" s="1"/>
  <c r="V18" i="42" s="1"/>
  <c r="I10" i="42"/>
  <c r="C13" i="42"/>
  <c r="C17" i="44" l="1"/>
  <c r="C7" i="44" s="1"/>
  <c r="C9" i="44" s="1"/>
  <c r="C19" i="44"/>
  <c r="C19" i="43"/>
  <c r="C5" i="43" s="1"/>
  <c r="I12" i="43" s="1"/>
  <c r="L14" i="43" s="1"/>
  <c r="N12" i="43" s="1"/>
  <c r="C4" i="43"/>
  <c r="I8" i="43" s="1"/>
  <c r="C5" i="42"/>
  <c r="I12" i="42" s="1"/>
  <c r="L14" i="42" s="1"/>
  <c r="C10" i="44" l="1"/>
  <c r="C22" i="44" s="1"/>
  <c r="J8" i="43"/>
  <c r="J12" i="43" s="1"/>
  <c r="L10" i="43"/>
  <c r="L6" i="43"/>
  <c r="N4" i="43" s="1"/>
  <c r="N16" i="43"/>
  <c r="N16" i="42"/>
  <c r="N12" i="42"/>
  <c r="L10" i="42"/>
  <c r="J8" i="42"/>
  <c r="J12" i="42" s="1"/>
  <c r="C12" i="44" l="1"/>
  <c r="AD12" i="43"/>
  <c r="V12" i="43"/>
  <c r="V16" i="43"/>
  <c r="AD16" i="43"/>
  <c r="N8" i="43"/>
  <c r="AD12" i="42"/>
  <c r="AD14" i="42" s="1"/>
  <c r="AB14" i="42" s="1"/>
  <c r="V12" i="42"/>
  <c r="AD16" i="42"/>
  <c r="V16" i="42"/>
  <c r="I7" i="41"/>
  <c r="C20" i="41"/>
  <c r="I5" i="41"/>
  <c r="Q5" i="41" s="1"/>
  <c r="I9" i="41"/>
  <c r="Q9" i="41" s="1"/>
  <c r="C17" i="41"/>
  <c r="O13" i="41"/>
  <c r="K13" i="41"/>
  <c r="C13" i="41"/>
  <c r="C10" i="41"/>
  <c r="C8" i="41"/>
  <c r="C7" i="41" s="1"/>
  <c r="G7" i="41"/>
  <c r="C13" i="28"/>
  <c r="C10" i="28"/>
  <c r="I18" i="39"/>
  <c r="I9" i="39" s="1"/>
  <c r="K3" i="40"/>
  <c r="J3" i="40"/>
  <c r="I5" i="39"/>
  <c r="I16" i="39"/>
  <c r="I15" i="39"/>
  <c r="V14" i="43" l="1"/>
  <c r="T14" i="43" s="1"/>
  <c r="V8" i="43"/>
  <c r="V10" i="43" s="1"/>
  <c r="T10" i="43" s="1"/>
  <c r="AD8" i="43"/>
  <c r="AD10" i="43" s="1"/>
  <c r="AB10" i="43" s="1"/>
  <c r="V4" i="43"/>
  <c r="V6" i="43" s="1"/>
  <c r="T6" i="43" s="1"/>
  <c r="T8" i="43" s="1"/>
  <c r="R8" i="43" s="1"/>
  <c r="AD4" i="43"/>
  <c r="AD4" i="42"/>
  <c r="V4" i="42"/>
  <c r="AD8" i="42"/>
  <c r="AD10" i="42" s="1"/>
  <c r="AB10" i="42" s="1"/>
  <c r="AB12" i="42" s="1"/>
  <c r="Z12" i="42" s="1"/>
  <c r="V8" i="42"/>
  <c r="V10" i="42" s="1"/>
  <c r="T10" i="42" s="1"/>
  <c r="V14" i="42"/>
  <c r="T14" i="42" s="1"/>
  <c r="J5" i="41"/>
  <c r="Q13" i="41"/>
  <c r="M13" i="41"/>
  <c r="I13" i="41"/>
  <c r="M5" i="41"/>
  <c r="M9" i="41"/>
  <c r="AF6" i="39"/>
  <c r="AE4" i="39"/>
  <c r="C7" i="39"/>
  <c r="P13" i="39" s="1"/>
  <c r="R13" i="39" s="1"/>
  <c r="R3" i="29"/>
  <c r="Q5" i="27"/>
  <c r="M5" i="27"/>
  <c r="AD5" i="39"/>
  <c r="AD6" i="39"/>
  <c r="AD7" i="39"/>
  <c r="AD8" i="39"/>
  <c r="AD9" i="39"/>
  <c r="AD10" i="39"/>
  <c r="AD11" i="39"/>
  <c r="AD12" i="39"/>
  <c r="AD13" i="39"/>
  <c r="AD14" i="39"/>
  <c r="AD15" i="39"/>
  <c r="AD16" i="39"/>
  <c r="AD17" i="39"/>
  <c r="AD18" i="39"/>
  <c r="AD19" i="39"/>
  <c r="AD20" i="39"/>
  <c r="AD21" i="39"/>
  <c r="AD22" i="39"/>
  <c r="AD23" i="39"/>
  <c r="AD24" i="39"/>
  <c r="AD25" i="39"/>
  <c r="AD26" i="39"/>
  <c r="AD27" i="39"/>
  <c r="AD28" i="39"/>
  <c r="AD29" i="39"/>
  <c r="AD30" i="39"/>
  <c r="AD31" i="39"/>
  <c r="AD32" i="39"/>
  <c r="AD33" i="39"/>
  <c r="AD34" i="39"/>
  <c r="AD35" i="39"/>
  <c r="AD36" i="39"/>
  <c r="AD37" i="39"/>
  <c r="AD38" i="39"/>
  <c r="AD39" i="39"/>
  <c r="AD40" i="39"/>
  <c r="AD41" i="39"/>
  <c r="AD42" i="39"/>
  <c r="AD43" i="39"/>
  <c r="AD44" i="39"/>
  <c r="AD45" i="39"/>
  <c r="AD46" i="39"/>
  <c r="AD47" i="39"/>
  <c r="AD48" i="39"/>
  <c r="AD49" i="39"/>
  <c r="AD50" i="39"/>
  <c r="AD51" i="39"/>
  <c r="AD52" i="39"/>
  <c r="AD53" i="39"/>
  <c r="AD54" i="39"/>
  <c r="AD55" i="39"/>
  <c r="AD56" i="39"/>
  <c r="AD57" i="39"/>
  <c r="AD58" i="39"/>
  <c r="AD59" i="39"/>
  <c r="AD60" i="39"/>
  <c r="AD61" i="39"/>
  <c r="AD62" i="39"/>
  <c r="AD63" i="39"/>
  <c r="AD64" i="39"/>
  <c r="AD65" i="39"/>
  <c r="AD66" i="39"/>
  <c r="AD67" i="39"/>
  <c r="AD68" i="39"/>
  <c r="AD69" i="39"/>
  <c r="AD70" i="39"/>
  <c r="AD71" i="39"/>
  <c r="AD72" i="39"/>
  <c r="AD73" i="39"/>
  <c r="AD74" i="39"/>
  <c r="AD75" i="39"/>
  <c r="AD76" i="39"/>
  <c r="AD77" i="39"/>
  <c r="AD78" i="39"/>
  <c r="AD79" i="39"/>
  <c r="AD80" i="39"/>
  <c r="AD81" i="39"/>
  <c r="AD82" i="39"/>
  <c r="AD83" i="39"/>
  <c r="AD84" i="39"/>
  <c r="AD85" i="39"/>
  <c r="AD86" i="39"/>
  <c r="AD87" i="39"/>
  <c r="AD88" i="39"/>
  <c r="AD89" i="39"/>
  <c r="AD90" i="39"/>
  <c r="AD91" i="39"/>
  <c r="AD92" i="39"/>
  <c r="AD93" i="39"/>
  <c r="AD94" i="39"/>
  <c r="AD95" i="39"/>
  <c r="AD96" i="39"/>
  <c r="AD97" i="39"/>
  <c r="AD98" i="39"/>
  <c r="AD99" i="39"/>
  <c r="AD100" i="39"/>
  <c r="AD101" i="39"/>
  <c r="AD102" i="39"/>
  <c r="AD103" i="39"/>
  <c r="AD104" i="39"/>
  <c r="AD105" i="39"/>
  <c r="AD106" i="39"/>
  <c r="AD107" i="39"/>
  <c r="AD108" i="39"/>
  <c r="AD109" i="39"/>
  <c r="AD110" i="39"/>
  <c r="AD111" i="39"/>
  <c r="AD112" i="39"/>
  <c r="AD113" i="39"/>
  <c r="AD114" i="39"/>
  <c r="AD115" i="39"/>
  <c r="AD116" i="39"/>
  <c r="AD117" i="39"/>
  <c r="AD118" i="39"/>
  <c r="AD119" i="39"/>
  <c r="AD120" i="39"/>
  <c r="AD121" i="39"/>
  <c r="AD122" i="39"/>
  <c r="AD123" i="39"/>
  <c r="AD124" i="39"/>
  <c r="AD125" i="39"/>
  <c r="AD126" i="39"/>
  <c r="AD127" i="39"/>
  <c r="AD128" i="39"/>
  <c r="AD129" i="39"/>
  <c r="AD130" i="39"/>
  <c r="AD131" i="39"/>
  <c r="AD132" i="39"/>
  <c r="AD133" i="39"/>
  <c r="AD134" i="39"/>
  <c r="AD135" i="39"/>
  <c r="AD136" i="39"/>
  <c r="AD137" i="39"/>
  <c r="AD138" i="39"/>
  <c r="AD139" i="39"/>
  <c r="AD140" i="39"/>
  <c r="AD141" i="39"/>
  <c r="AD142" i="39"/>
  <c r="AD143" i="39"/>
  <c r="AD144" i="39"/>
  <c r="AD145" i="39"/>
  <c r="AD146" i="39"/>
  <c r="AD147" i="39"/>
  <c r="AD148" i="39"/>
  <c r="AD149" i="39"/>
  <c r="AD150" i="39"/>
  <c r="AD151" i="39"/>
  <c r="AD152" i="39"/>
  <c r="AD153" i="39"/>
  <c r="AD154" i="39"/>
  <c r="AD155" i="39"/>
  <c r="AD156" i="39"/>
  <c r="AD157" i="39"/>
  <c r="AD158" i="39"/>
  <c r="AD159" i="39"/>
  <c r="AD160" i="39"/>
  <c r="AD161" i="39"/>
  <c r="AD162" i="39"/>
  <c r="AD163" i="39"/>
  <c r="AD164" i="39"/>
  <c r="AD165" i="39"/>
  <c r="AD166" i="39"/>
  <c r="AD167" i="39"/>
  <c r="AD168" i="39"/>
  <c r="AD169" i="39"/>
  <c r="AD170" i="39"/>
  <c r="AD171" i="39"/>
  <c r="AD172" i="39"/>
  <c r="AD173" i="39"/>
  <c r="AD174" i="39"/>
  <c r="AD175" i="39"/>
  <c r="AD176" i="39"/>
  <c r="AD177" i="39"/>
  <c r="AD178" i="39"/>
  <c r="AD179" i="39"/>
  <c r="AD180" i="39"/>
  <c r="AD181" i="39"/>
  <c r="AD182" i="39"/>
  <c r="AD183" i="39"/>
  <c r="AD184" i="39"/>
  <c r="AD185" i="39"/>
  <c r="AD186" i="39"/>
  <c r="AD187" i="39"/>
  <c r="AD188" i="39"/>
  <c r="AD189" i="39"/>
  <c r="AD190" i="39"/>
  <c r="AD191" i="39"/>
  <c r="AD192" i="39"/>
  <c r="AD193" i="39"/>
  <c r="AD194" i="39"/>
  <c r="AD195" i="39"/>
  <c r="AD196" i="39"/>
  <c r="AD197" i="39"/>
  <c r="AD198" i="39"/>
  <c r="AD199" i="39"/>
  <c r="AD200" i="39"/>
  <c r="AD201" i="39"/>
  <c r="AD202" i="39"/>
  <c r="AD203" i="39"/>
  <c r="AD204" i="39"/>
  <c r="AD205" i="39"/>
  <c r="AD206" i="39"/>
  <c r="AD207" i="39"/>
  <c r="AD208" i="39"/>
  <c r="AD209" i="39"/>
  <c r="AD210" i="39"/>
  <c r="AD211" i="39"/>
  <c r="AD212" i="39"/>
  <c r="AD213" i="39"/>
  <c r="AD214" i="39"/>
  <c r="AD215" i="39"/>
  <c r="AD216" i="39"/>
  <c r="AD217" i="39"/>
  <c r="AD218" i="39"/>
  <c r="AD219" i="39"/>
  <c r="AD220" i="39"/>
  <c r="AD221" i="39"/>
  <c r="AD222" i="39"/>
  <c r="AD223" i="39"/>
  <c r="AD224" i="39"/>
  <c r="AD225" i="39"/>
  <c r="AD226" i="39"/>
  <c r="AD227" i="39"/>
  <c r="AD228" i="39"/>
  <c r="AD229" i="39"/>
  <c r="AD230" i="39"/>
  <c r="AD231" i="39"/>
  <c r="AD232" i="39"/>
  <c r="AD233" i="39"/>
  <c r="AD234" i="39"/>
  <c r="AD235" i="39"/>
  <c r="AD236" i="39"/>
  <c r="AD237" i="39"/>
  <c r="AD238" i="39"/>
  <c r="AD239" i="39"/>
  <c r="AD240" i="39"/>
  <c r="AD241" i="39"/>
  <c r="AD242" i="39"/>
  <c r="AD243" i="39"/>
  <c r="AD4" i="39"/>
  <c r="T13" i="39"/>
  <c r="N13" i="39"/>
  <c r="C13" i="39"/>
  <c r="C10" i="39"/>
  <c r="G7" i="39"/>
  <c r="C18" i="29"/>
  <c r="C19" i="29" s="1"/>
  <c r="C24" i="37"/>
  <c r="C17" i="37"/>
  <c r="C20" i="37" s="1"/>
  <c r="O13" i="37"/>
  <c r="K13" i="37"/>
  <c r="C13" i="37"/>
  <c r="C10" i="37"/>
  <c r="I9" i="37"/>
  <c r="Q9" i="37" s="1"/>
  <c r="C8" i="37"/>
  <c r="C7" i="37" s="1"/>
  <c r="G7" i="37"/>
  <c r="I5" i="37"/>
  <c r="Q5" i="37" s="1"/>
  <c r="C22" i="36"/>
  <c r="C13" i="36"/>
  <c r="L5" i="36"/>
  <c r="L4" i="36"/>
  <c r="J257" i="36"/>
  <c r="J256" i="36"/>
  <c r="J255" i="36"/>
  <c r="J254" i="36"/>
  <c r="J253" i="36"/>
  <c r="J252" i="36"/>
  <c r="J251" i="36"/>
  <c r="J250" i="36"/>
  <c r="J249" i="36"/>
  <c r="J248" i="36"/>
  <c r="J247" i="36"/>
  <c r="J246" i="36"/>
  <c r="J245" i="36"/>
  <c r="J244" i="36"/>
  <c r="J243" i="36"/>
  <c r="J242" i="36"/>
  <c r="J241" i="36"/>
  <c r="J240" i="36"/>
  <c r="J239" i="36"/>
  <c r="J238" i="36"/>
  <c r="J237" i="36"/>
  <c r="J236" i="36"/>
  <c r="J235" i="36"/>
  <c r="J234" i="36"/>
  <c r="J233" i="36"/>
  <c r="J232" i="36"/>
  <c r="J231" i="36"/>
  <c r="J230" i="36"/>
  <c r="J229" i="36"/>
  <c r="J228" i="36"/>
  <c r="J227" i="36"/>
  <c r="J226" i="36"/>
  <c r="J225" i="36"/>
  <c r="J224" i="36"/>
  <c r="J223" i="36"/>
  <c r="J222" i="36"/>
  <c r="J221" i="36"/>
  <c r="J220" i="36"/>
  <c r="J219" i="36"/>
  <c r="J218" i="36"/>
  <c r="J217" i="36"/>
  <c r="J216" i="36"/>
  <c r="J215" i="36"/>
  <c r="J214" i="36"/>
  <c r="J213" i="36"/>
  <c r="J212" i="36"/>
  <c r="J211" i="36"/>
  <c r="J210" i="36"/>
  <c r="J209" i="36"/>
  <c r="J208" i="36"/>
  <c r="J207" i="36"/>
  <c r="J206" i="36"/>
  <c r="J205" i="36"/>
  <c r="J204" i="36"/>
  <c r="J203" i="36"/>
  <c r="J202" i="36"/>
  <c r="J201" i="36"/>
  <c r="J200" i="36"/>
  <c r="J199" i="36"/>
  <c r="J198" i="36"/>
  <c r="J197" i="36"/>
  <c r="J196" i="36"/>
  <c r="J195" i="36"/>
  <c r="J194" i="36"/>
  <c r="J193" i="36"/>
  <c r="J192" i="36"/>
  <c r="J191" i="36"/>
  <c r="J190" i="36"/>
  <c r="J189" i="36"/>
  <c r="J188" i="36"/>
  <c r="J187" i="36"/>
  <c r="J186" i="36"/>
  <c r="J185" i="36"/>
  <c r="J184" i="36"/>
  <c r="J183" i="36"/>
  <c r="J182" i="36"/>
  <c r="J181" i="36"/>
  <c r="J180" i="36"/>
  <c r="J179" i="36"/>
  <c r="J178" i="36"/>
  <c r="J177" i="36"/>
  <c r="J176" i="36"/>
  <c r="J175" i="36"/>
  <c r="J174" i="36"/>
  <c r="J173" i="36"/>
  <c r="J172" i="36"/>
  <c r="J171" i="36"/>
  <c r="J170" i="36"/>
  <c r="J169" i="36"/>
  <c r="J168" i="36"/>
  <c r="J167" i="36"/>
  <c r="J166" i="36"/>
  <c r="J165" i="36"/>
  <c r="J164" i="36"/>
  <c r="J163" i="36"/>
  <c r="J162" i="36"/>
  <c r="J161" i="36"/>
  <c r="J160" i="36"/>
  <c r="J159" i="36"/>
  <c r="J158" i="36"/>
  <c r="J157" i="36"/>
  <c r="J156" i="36"/>
  <c r="J155" i="36"/>
  <c r="J154" i="36"/>
  <c r="J153" i="36"/>
  <c r="J152" i="36"/>
  <c r="J151" i="36"/>
  <c r="J150" i="36"/>
  <c r="J149" i="36"/>
  <c r="J148" i="36"/>
  <c r="J147" i="36"/>
  <c r="J146" i="36"/>
  <c r="J145" i="36"/>
  <c r="J144" i="36"/>
  <c r="J143" i="36"/>
  <c r="J142" i="36"/>
  <c r="J141" i="36"/>
  <c r="J140" i="36"/>
  <c r="J139" i="36"/>
  <c r="J138" i="36"/>
  <c r="J137" i="36"/>
  <c r="J136" i="36"/>
  <c r="J135" i="36"/>
  <c r="J134" i="36"/>
  <c r="J133" i="36"/>
  <c r="J132" i="36"/>
  <c r="J131" i="36"/>
  <c r="J130" i="36"/>
  <c r="J129" i="36"/>
  <c r="J128" i="36"/>
  <c r="J127" i="36"/>
  <c r="J126" i="36"/>
  <c r="J125" i="36"/>
  <c r="J124" i="36"/>
  <c r="J123" i="36"/>
  <c r="J122" i="36"/>
  <c r="J121" i="36"/>
  <c r="J120" i="36"/>
  <c r="J119" i="36"/>
  <c r="J118" i="36"/>
  <c r="J117" i="36"/>
  <c r="J116" i="36"/>
  <c r="J115" i="36"/>
  <c r="J114" i="36"/>
  <c r="J113" i="36"/>
  <c r="J112" i="36"/>
  <c r="J111" i="36"/>
  <c r="J110" i="36"/>
  <c r="J109" i="36"/>
  <c r="J108" i="36"/>
  <c r="J107" i="36"/>
  <c r="J106" i="36"/>
  <c r="J105" i="36"/>
  <c r="J104" i="36"/>
  <c r="J103" i="36"/>
  <c r="J102" i="36"/>
  <c r="J101" i="36"/>
  <c r="J100" i="36"/>
  <c r="J99" i="36"/>
  <c r="J98" i="36"/>
  <c r="J97" i="36"/>
  <c r="J96" i="36"/>
  <c r="J95" i="36"/>
  <c r="J94" i="36"/>
  <c r="J93" i="36"/>
  <c r="J92" i="36"/>
  <c r="J91" i="36"/>
  <c r="J90" i="36"/>
  <c r="J89" i="36"/>
  <c r="J88" i="36"/>
  <c r="J87" i="36"/>
  <c r="J86" i="36"/>
  <c r="J85" i="36"/>
  <c r="J84" i="36"/>
  <c r="J83" i="36"/>
  <c r="J82" i="36"/>
  <c r="J81" i="36"/>
  <c r="J80" i="36"/>
  <c r="J79" i="36"/>
  <c r="J78" i="36"/>
  <c r="J77" i="36"/>
  <c r="J76" i="36"/>
  <c r="J75" i="36"/>
  <c r="J74" i="36"/>
  <c r="J73" i="36"/>
  <c r="J72" i="36"/>
  <c r="J71" i="36"/>
  <c r="J70" i="36"/>
  <c r="J69" i="36"/>
  <c r="J68" i="36"/>
  <c r="J67" i="36"/>
  <c r="J66" i="36"/>
  <c r="J65" i="36"/>
  <c r="J64" i="36"/>
  <c r="J63" i="36"/>
  <c r="J62" i="36"/>
  <c r="J61" i="36"/>
  <c r="J60" i="36"/>
  <c r="J59" i="36"/>
  <c r="J58" i="36"/>
  <c r="J57" i="36"/>
  <c r="J56" i="36"/>
  <c r="J55" i="36"/>
  <c r="J54" i="36"/>
  <c r="J53" i="36"/>
  <c r="J52" i="36"/>
  <c r="J51" i="36"/>
  <c r="J50" i="36"/>
  <c r="J49" i="36"/>
  <c r="J48" i="36"/>
  <c r="J47" i="36"/>
  <c r="J46" i="36"/>
  <c r="J45" i="36"/>
  <c r="J44" i="36"/>
  <c r="J43" i="36"/>
  <c r="J42" i="36"/>
  <c r="J41" i="36"/>
  <c r="J40" i="36"/>
  <c r="J39" i="36"/>
  <c r="J38" i="36"/>
  <c r="J37" i="36"/>
  <c r="J36" i="36"/>
  <c r="J35" i="36"/>
  <c r="J34" i="36"/>
  <c r="J33" i="36"/>
  <c r="J32" i="36"/>
  <c r="J31" i="36"/>
  <c r="J30" i="36"/>
  <c r="J29" i="36"/>
  <c r="J28" i="36"/>
  <c r="J27" i="36"/>
  <c r="J26" i="36"/>
  <c r="J25" i="36"/>
  <c r="J24" i="36"/>
  <c r="J23" i="36"/>
  <c r="J22" i="36"/>
  <c r="J21" i="36"/>
  <c r="J20" i="36"/>
  <c r="J19" i="36"/>
  <c r="J18" i="36"/>
  <c r="J17" i="36"/>
  <c r="J16" i="36"/>
  <c r="J15" i="36"/>
  <c r="J14" i="36"/>
  <c r="J13" i="36"/>
  <c r="J12" i="36"/>
  <c r="J11" i="36"/>
  <c r="J10" i="36"/>
  <c r="J9" i="36"/>
  <c r="J8" i="36"/>
  <c r="J7" i="36"/>
  <c r="J6" i="36"/>
  <c r="J5" i="36"/>
  <c r="J4" i="36"/>
  <c r="C8" i="36"/>
  <c r="C14" i="36"/>
  <c r="F27" i="34"/>
  <c r="E27" i="34"/>
  <c r="D27" i="34"/>
  <c r="C27" i="34"/>
  <c r="C24" i="34"/>
  <c r="C25" i="34" s="1"/>
  <c r="C23" i="34"/>
  <c r="F21" i="34"/>
  <c r="F22" i="34" s="1"/>
  <c r="E21" i="34"/>
  <c r="E22" i="34" s="1"/>
  <c r="D21" i="34"/>
  <c r="D22" i="34" s="1"/>
  <c r="C21" i="34"/>
  <c r="F14" i="34"/>
  <c r="F15" i="34" s="1"/>
  <c r="F13" i="34"/>
  <c r="F12" i="34"/>
  <c r="F11" i="34"/>
  <c r="F17" i="34" s="1"/>
  <c r="E11" i="34"/>
  <c r="E12" i="34" s="1"/>
  <c r="D11" i="34"/>
  <c r="D12" i="34" s="1"/>
  <c r="C11" i="34"/>
  <c r="C17" i="29"/>
  <c r="C33" i="30"/>
  <c r="C34" i="30" s="1"/>
  <c r="C55" i="30"/>
  <c r="C52" i="30"/>
  <c r="K4" i="30"/>
  <c r="I264" i="30"/>
  <c r="I263" i="30"/>
  <c r="I262" i="30"/>
  <c r="I261" i="30"/>
  <c r="I260" i="30"/>
  <c r="I259" i="30"/>
  <c r="I258" i="30"/>
  <c r="I257" i="30"/>
  <c r="I256" i="30"/>
  <c r="I255" i="30"/>
  <c r="I254" i="30"/>
  <c r="I253" i="30"/>
  <c r="I252" i="30"/>
  <c r="I251" i="30"/>
  <c r="I250" i="30"/>
  <c r="I249" i="30"/>
  <c r="I248" i="30"/>
  <c r="I247" i="30"/>
  <c r="I246" i="30"/>
  <c r="I245" i="30"/>
  <c r="I244" i="30"/>
  <c r="I243" i="30"/>
  <c r="I242" i="30"/>
  <c r="I241" i="30"/>
  <c r="I240" i="30"/>
  <c r="I239" i="30"/>
  <c r="I238" i="30"/>
  <c r="I237" i="30"/>
  <c r="I236" i="30"/>
  <c r="I235" i="30"/>
  <c r="I234" i="30"/>
  <c r="I233" i="30"/>
  <c r="I232" i="30"/>
  <c r="I231" i="30"/>
  <c r="I230" i="30"/>
  <c r="I229" i="30"/>
  <c r="I228" i="30"/>
  <c r="I227" i="30"/>
  <c r="I226" i="30"/>
  <c r="I225" i="30"/>
  <c r="I224" i="30"/>
  <c r="I223" i="30"/>
  <c r="I222" i="30"/>
  <c r="I221" i="30"/>
  <c r="I220" i="30"/>
  <c r="I219" i="30"/>
  <c r="I218" i="30"/>
  <c r="I217" i="30"/>
  <c r="I216" i="30"/>
  <c r="I215" i="30"/>
  <c r="I214" i="30"/>
  <c r="I213" i="30"/>
  <c r="I212" i="30"/>
  <c r="I211" i="30"/>
  <c r="I210" i="30"/>
  <c r="I209" i="30"/>
  <c r="I208" i="30"/>
  <c r="I207" i="30"/>
  <c r="I206" i="30"/>
  <c r="I205" i="30"/>
  <c r="I204" i="30"/>
  <c r="I203" i="30"/>
  <c r="I202" i="30"/>
  <c r="I201" i="30"/>
  <c r="I200" i="30"/>
  <c r="I199" i="30"/>
  <c r="I198" i="30"/>
  <c r="I197" i="30"/>
  <c r="I196" i="30"/>
  <c r="I195" i="30"/>
  <c r="I194" i="30"/>
  <c r="I193" i="30"/>
  <c r="I192" i="30"/>
  <c r="I191" i="30"/>
  <c r="I190" i="30"/>
  <c r="I189" i="30"/>
  <c r="I188" i="30"/>
  <c r="I187" i="30"/>
  <c r="I186" i="30"/>
  <c r="I185" i="30"/>
  <c r="I184" i="30"/>
  <c r="I183" i="30"/>
  <c r="I182" i="30"/>
  <c r="I181" i="30"/>
  <c r="I180" i="30"/>
  <c r="I179" i="30"/>
  <c r="I178" i="30"/>
  <c r="I177" i="30"/>
  <c r="I176" i="30"/>
  <c r="I175" i="30"/>
  <c r="I174" i="30"/>
  <c r="I173" i="30"/>
  <c r="I172" i="30"/>
  <c r="I171" i="30"/>
  <c r="I170" i="30"/>
  <c r="I169" i="30"/>
  <c r="I168" i="30"/>
  <c r="I167" i="30"/>
  <c r="I166" i="30"/>
  <c r="I165" i="30"/>
  <c r="I164" i="30"/>
  <c r="I163" i="30"/>
  <c r="I162" i="30"/>
  <c r="I161" i="30"/>
  <c r="I160" i="30"/>
  <c r="I159" i="30"/>
  <c r="I158" i="30"/>
  <c r="I157" i="30"/>
  <c r="I156" i="30"/>
  <c r="I155" i="30"/>
  <c r="I154" i="30"/>
  <c r="I153" i="30"/>
  <c r="I152" i="30"/>
  <c r="I151" i="30"/>
  <c r="I150" i="30"/>
  <c r="I149" i="30"/>
  <c r="I148" i="30"/>
  <c r="I147" i="30"/>
  <c r="I146" i="30"/>
  <c r="I145" i="30"/>
  <c r="I144" i="30"/>
  <c r="I143" i="30"/>
  <c r="I142" i="30"/>
  <c r="I141" i="30"/>
  <c r="I140" i="30"/>
  <c r="I139" i="30"/>
  <c r="I138" i="30"/>
  <c r="I137" i="30"/>
  <c r="I136" i="30"/>
  <c r="I135" i="30"/>
  <c r="I134" i="30"/>
  <c r="I133" i="30"/>
  <c r="I132" i="30"/>
  <c r="I131" i="30"/>
  <c r="I130" i="30"/>
  <c r="I129" i="30"/>
  <c r="I128" i="30"/>
  <c r="I127" i="30"/>
  <c r="I126" i="30"/>
  <c r="I125" i="30"/>
  <c r="I124" i="30"/>
  <c r="I123" i="30"/>
  <c r="I122" i="30"/>
  <c r="I121" i="30"/>
  <c r="I120" i="30"/>
  <c r="I119" i="30"/>
  <c r="I118" i="30"/>
  <c r="I117" i="30"/>
  <c r="I116" i="30"/>
  <c r="I115" i="30"/>
  <c r="I114" i="30"/>
  <c r="I113" i="30"/>
  <c r="I112" i="30"/>
  <c r="I111" i="30"/>
  <c r="I110" i="30"/>
  <c r="I109" i="30"/>
  <c r="I108" i="30"/>
  <c r="I107" i="30"/>
  <c r="I106" i="30"/>
  <c r="I105" i="30"/>
  <c r="I104" i="30"/>
  <c r="I103" i="30"/>
  <c r="I102" i="30"/>
  <c r="I101" i="30"/>
  <c r="I100" i="30"/>
  <c r="I99" i="30"/>
  <c r="I98" i="30"/>
  <c r="I97" i="30"/>
  <c r="I96" i="30"/>
  <c r="I95" i="30"/>
  <c r="I94" i="30"/>
  <c r="I93" i="30"/>
  <c r="I92" i="30"/>
  <c r="I91" i="30"/>
  <c r="I90" i="30"/>
  <c r="I89" i="30"/>
  <c r="I88" i="30"/>
  <c r="I87" i="30"/>
  <c r="I86" i="30"/>
  <c r="I85" i="30"/>
  <c r="I84" i="30"/>
  <c r="I83" i="30"/>
  <c r="I82" i="30"/>
  <c r="I81" i="30"/>
  <c r="I80" i="30"/>
  <c r="I79" i="30"/>
  <c r="I78" i="30"/>
  <c r="I77" i="30"/>
  <c r="I76" i="30"/>
  <c r="I75" i="30"/>
  <c r="I74" i="30"/>
  <c r="I73" i="30"/>
  <c r="I72" i="30"/>
  <c r="I71" i="30"/>
  <c r="I70" i="30"/>
  <c r="I69" i="30"/>
  <c r="I68" i="30"/>
  <c r="I67" i="30"/>
  <c r="I66" i="30"/>
  <c r="I65" i="30"/>
  <c r="I64" i="30"/>
  <c r="I63" i="30"/>
  <c r="I62" i="30"/>
  <c r="I61" i="30"/>
  <c r="I60" i="30"/>
  <c r="I59" i="30"/>
  <c r="I58" i="30"/>
  <c r="I57" i="30"/>
  <c r="I56" i="30"/>
  <c r="I55" i="30"/>
  <c r="I54" i="30"/>
  <c r="I53" i="30"/>
  <c r="I52" i="30"/>
  <c r="I51" i="30"/>
  <c r="I50" i="30"/>
  <c r="I49" i="30"/>
  <c r="I48" i="30"/>
  <c r="I47" i="30"/>
  <c r="I46" i="30"/>
  <c r="I45" i="30"/>
  <c r="I44" i="30"/>
  <c r="I43" i="30"/>
  <c r="I42" i="30"/>
  <c r="I41" i="30"/>
  <c r="I40" i="30"/>
  <c r="I39" i="30"/>
  <c r="I38" i="30"/>
  <c r="I37" i="30"/>
  <c r="I36" i="30"/>
  <c r="I35" i="30"/>
  <c r="I34" i="30"/>
  <c r="I33" i="30"/>
  <c r="I32" i="30"/>
  <c r="I31" i="30"/>
  <c r="I30" i="30"/>
  <c r="I29" i="30"/>
  <c r="I28" i="30"/>
  <c r="I27" i="30"/>
  <c r="I26" i="30"/>
  <c r="I25" i="30"/>
  <c r="I24" i="30"/>
  <c r="I23" i="30"/>
  <c r="I22" i="30"/>
  <c r="I21" i="30"/>
  <c r="I20" i="30"/>
  <c r="I19" i="30"/>
  <c r="I18" i="30"/>
  <c r="I17" i="30"/>
  <c r="I16" i="30"/>
  <c r="I15" i="30"/>
  <c r="I14" i="30"/>
  <c r="I13" i="30"/>
  <c r="I12" i="30"/>
  <c r="I11" i="30"/>
  <c r="I10" i="30"/>
  <c r="I9" i="30"/>
  <c r="I8" i="30"/>
  <c r="I7" i="30"/>
  <c r="I6" i="30"/>
  <c r="I5" i="30"/>
  <c r="I4" i="30"/>
  <c r="C31" i="30"/>
  <c r="C28" i="30"/>
  <c r="C11" i="30"/>
  <c r="C8" i="30"/>
  <c r="C6" i="30"/>
  <c r="V9" i="29"/>
  <c r="T13" i="29"/>
  <c r="N13" i="29"/>
  <c r="C10" i="29"/>
  <c r="C8" i="29"/>
  <c r="I13" i="29" s="1"/>
  <c r="L13" i="29" s="1"/>
  <c r="G7" i="29"/>
  <c r="I7" i="29" s="1"/>
  <c r="T13" i="28"/>
  <c r="V13" i="28" s="1"/>
  <c r="X13" i="28" s="1"/>
  <c r="N13" i="28"/>
  <c r="I13" i="28"/>
  <c r="L13" i="28" s="1"/>
  <c r="G7" i="28"/>
  <c r="I7" i="28" s="1"/>
  <c r="I9" i="27"/>
  <c r="J9" i="27"/>
  <c r="I7" i="27"/>
  <c r="G7" i="27"/>
  <c r="Q9" i="27"/>
  <c r="AD6" i="43" l="1"/>
  <c r="AB6" i="43" s="1"/>
  <c r="AB8" i="43" s="1"/>
  <c r="Z8" i="43" s="1"/>
  <c r="T12" i="43"/>
  <c r="R12" i="43" s="1"/>
  <c r="R10" i="43" s="1"/>
  <c r="P10" i="43" s="1"/>
  <c r="C9" i="43" s="1"/>
  <c r="C11" i="43" s="1"/>
  <c r="Z10" i="43"/>
  <c r="X10" i="43" s="1"/>
  <c r="C12" i="43" s="1"/>
  <c r="C14" i="43" s="1"/>
  <c r="V6" i="42"/>
  <c r="T8" i="42" s="1"/>
  <c r="R8" i="42" s="1"/>
  <c r="AD6" i="42"/>
  <c r="AB6" i="42" s="1"/>
  <c r="AB8" i="42" s="1"/>
  <c r="Z8" i="42" s="1"/>
  <c r="Z10" i="42" s="1"/>
  <c r="X10" i="42" s="1"/>
  <c r="C12" i="42" s="1"/>
  <c r="C14" i="42" s="1"/>
  <c r="T12" i="42"/>
  <c r="R12" i="42" s="1"/>
  <c r="J9" i="41"/>
  <c r="Q7" i="41" s="1"/>
  <c r="O7" i="41" s="1"/>
  <c r="L3" i="39"/>
  <c r="R3" i="39" s="1"/>
  <c r="I7" i="39"/>
  <c r="I13" i="39"/>
  <c r="L13" i="39" s="1"/>
  <c r="V13" i="39"/>
  <c r="X13" i="39" s="1"/>
  <c r="Q7" i="27"/>
  <c r="O7" i="27" s="1"/>
  <c r="I7" i="37"/>
  <c r="J5" i="37" s="1"/>
  <c r="J9" i="37" s="1"/>
  <c r="M13" i="37"/>
  <c r="I13" i="37"/>
  <c r="Q13" i="37"/>
  <c r="M5" i="37"/>
  <c r="M9" i="37"/>
  <c r="C16" i="36"/>
  <c r="C15" i="36"/>
  <c r="C18" i="36"/>
  <c r="C11" i="36"/>
  <c r="G22" i="34"/>
  <c r="D24" i="34"/>
  <c r="D23" i="34"/>
  <c r="E24" i="34"/>
  <c r="E23" i="34"/>
  <c r="F24" i="34"/>
  <c r="F23" i="34"/>
  <c r="G12" i="34"/>
  <c r="C28" i="34"/>
  <c r="D15" i="34"/>
  <c r="D13" i="34"/>
  <c r="E13" i="34"/>
  <c r="E14" i="34"/>
  <c r="E15" i="34" s="1"/>
  <c r="F18" i="34"/>
  <c r="D17" i="34"/>
  <c r="E17" i="34"/>
  <c r="E18" i="34" s="1"/>
  <c r="G21" i="34"/>
  <c r="G11" i="34"/>
  <c r="G27" i="34"/>
  <c r="C16" i="29"/>
  <c r="C13" i="30"/>
  <c r="C14" i="30" s="1"/>
  <c r="C16" i="30" s="1"/>
  <c r="C57" i="30"/>
  <c r="C58" i="30" s="1"/>
  <c r="C62" i="30" s="1"/>
  <c r="C36" i="30"/>
  <c r="C35" i="30"/>
  <c r="C38" i="30"/>
  <c r="P13" i="29"/>
  <c r="R13" i="29" s="1"/>
  <c r="V13" i="29"/>
  <c r="X13" i="29" s="1"/>
  <c r="C13" i="29"/>
  <c r="I9" i="28"/>
  <c r="L11" i="28" s="1"/>
  <c r="X11" i="28" s="1"/>
  <c r="I5" i="28"/>
  <c r="P13" i="28"/>
  <c r="R13" i="28" s="1"/>
  <c r="J5" i="28" l="1"/>
  <c r="J9" i="28" s="1"/>
  <c r="R10" i="42"/>
  <c r="P10" i="42" s="1"/>
  <c r="C9" i="42" s="1"/>
  <c r="C11" i="42" s="1"/>
  <c r="C19" i="41"/>
  <c r="M7" i="41"/>
  <c r="K7" i="41"/>
  <c r="C9" i="41" s="1"/>
  <c r="C11" i="41" s="1"/>
  <c r="C12" i="41"/>
  <c r="C14" i="41" s="1"/>
  <c r="C22" i="41"/>
  <c r="X3" i="39"/>
  <c r="J5" i="39"/>
  <c r="J9" i="39" s="1"/>
  <c r="L11" i="39"/>
  <c r="L7" i="39"/>
  <c r="R7" i="39" s="1"/>
  <c r="M7" i="37"/>
  <c r="K7" i="37" s="1"/>
  <c r="C9" i="37" s="1"/>
  <c r="C11" i="37" s="1"/>
  <c r="Q7" i="37"/>
  <c r="O7" i="37" s="1"/>
  <c r="C19" i="36"/>
  <c r="C10" i="36" s="1"/>
  <c r="C12" i="36" s="1"/>
  <c r="C17" i="36"/>
  <c r="C7" i="36" s="1"/>
  <c r="C9" i="36" s="1"/>
  <c r="F25" i="34"/>
  <c r="F28" i="34" s="1"/>
  <c r="D18" i="34"/>
  <c r="E25" i="34"/>
  <c r="E28" i="34" s="1"/>
  <c r="G14" i="34"/>
  <c r="G24" i="34"/>
  <c r="G23" i="34"/>
  <c r="D25" i="34"/>
  <c r="C15" i="30"/>
  <c r="C19" i="30" s="1"/>
  <c r="C59" i="30"/>
  <c r="C63" i="30" s="1"/>
  <c r="C54" i="30" s="1"/>
  <c r="C60" i="30"/>
  <c r="C18" i="30"/>
  <c r="C39" i="30"/>
  <c r="C37" i="30"/>
  <c r="C27" i="30" s="1"/>
  <c r="C29" i="30" s="1"/>
  <c r="I9" i="29"/>
  <c r="I5" i="29"/>
  <c r="R11" i="28"/>
  <c r="L3" i="28"/>
  <c r="L7" i="28"/>
  <c r="C17" i="30" l="1"/>
  <c r="C7" i="30" s="1"/>
  <c r="C61" i="30"/>
  <c r="C51" i="30" s="1"/>
  <c r="C53" i="30" s="1"/>
  <c r="G15" i="34"/>
  <c r="G18" i="34"/>
  <c r="R5" i="39"/>
  <c r="P5" i="39" s="1"/>
  <c r="X7" i="39"/>
  <c r="X5" i="39" s="1"/>
  <c r="V5" i="39" s="1"/>
  <c r="R11" i="39"/>
  <c r="R9" i="39" s="1"/>
  <c r="P9" i="39" s="1"/>
  <c r="X11" i="39"/>
  <c r="C17" i="39" s="1"/>
  <c r="C12" i="37"/>
  <c r="C14" i="37" s="1"/>
  <c r="C19" i="37"/>
  <c r="C21" i="37"/>
  <c r="C22" i="37"/>
  <c r="D28" i="34"/>
  <c r="G28" i="34" s="1"/>
  <c r="G25" i="34"/>
  <c r="C56" i="30"/>
  <c r="C9" i="30"/>
  <c r="C10" i="30"/>
  <c r="C12" i="30" s="1"/>
  <c r="C30" i="30"/>
  <c r="C43" i="30" s="1"/>
  <c r="L11" i="29"/>
  <c r="J5" i="29"/>
  <c r="J9" i="29" s="1"/>
  <c r="L3" i="29"/>
  <c r="L7" i="29"/>
  <c r="X7" i="28"/>
  <c r="X9" i="28" s="1"/>
  <c r="V9" i="28" s="1"/>
  <c r="R7" i="28"/>
  <c r="R9" i="28" s="1"/>
  <c r="P9" i="28" s="1"/>
  <c r="X3" i="28"/>
  <c r="X5" i="28" l="1"/>
  <c r="V5" i="28" s="1"/>
  <c r="V7" i="28" s="1"/>
  <c r="T7" i="28" s="1"/>
  <c r="R5" i="28"/>
  <c r="C42" i="30"/>
  <c r="C44" i="30" s="1"/>
  <c r="C65" i="30"/>
  <c r="C66" i="30" s="1"/>
  <c r="X9" i="39"/>
  <c r="V9" i="39" s="1"/>
  <c r="V7" i="39" s="1"/>
  <c r="T7" i="39" s="1"/>
  <c r="P7" i="39"/>
  <c r="C32" i="30"/>
  <c r="R11" i="29"/>
  <c r="X11" i="29"/>
  <c r="X7" i="29"/>
  <c r="R7" i="29"/>
  <c r="R9" i="29" s="1"/>
  <c r="P9" i="29" s="1"/>
  <c r="R5" i="29"/>
  <c r="P5" i="29" s="1"/>
  <c r="X3" i="29"/>
  <c r="X5" i="29" s="1"/>
  <c r="V5" i="29" s="1"/>
  <c r="C18" i="39" l="1"/>
  <c r="C19" i="39"/>
  <c r="P5" i="28"/>
  <c r="P7" i="28" s="1"/>
  <c r="N7" i="28" s="1"/>
  <c r="C12" i="28"/>
  <c r="C14" i="28" s="1"/>
  <c r="C12" i="39"/>
  <c r="C14" i="39" s="1"/>
  <c r="N7" i="39"/>
  <c r="C9" i="39" s="1"/>
  <c r="C11" i="39" s="1"/>
  <c r="P7" i="29"/>
  <c r="N7" i="29" s="1"/>
  <c r="C9" i="29" s="1"/>
  <c r="C11" i="29" s="1"/>
  <c r="X9" i="29"/>
  <c r="V7" i="29" s="1"/>
  <c r="T7" i="29" s="1"/>
  <c r="C12" i="29" s="1"/>
  <c r="C14" i="29" s="1"/>
  <c r="C9" i="28" l="1"/>
  <c r="C11" i="28" s="1"/>
  <c r="C17" i="27"/>
  <c r="C2" i="19"/>
  <c r="C4" i="19" l="1"/>
  <c r="C20" i="19" s="1"/>
  <c r="C5" i="19"/>
  <c r="O13" i="27"/>
  <c r="K13" i="27"/>
  <c r="C8" i="27"/>
  <c r="C7" i="27" s="1"/>
  <c r="C13" i="27"/>
  <c r="J8" i="23"/>
  <c r="E24" i="26"/>
  <c r="D24" i="26"/>
  <c r="E23" i="26"/>
  <c r="E21" i="26"/>
  <c r="D21" i="26"/>
  <c r="J8" i="24"/>
  <c r="J5" i="16"/>
  <c r="J5" i="18"/>
  <c r="I10" i="24"/>
  <c r="I7" i="16"/>
  <c r="I7" i="18"/>
  <c r="I7" i="2"/>
  <c r="I10" i="23"/>
  <c r="E17" i="26"/>
  <c r="E15" i="26"/>
  <c r="C2" i="26"/>
  <c r="C6" i="26" s="1"/>
  <c r="C8" i="26" s="1"/>
  <c r="D2" i="26"/>
  <c r="D6" i="26" s="1"/>
  <c r="D8" i="26" s="1"/>
  <c r="B2" i="26"/>
  <c r="B6" i="26" s="1"/>
  <c r="B8" i="26" s="1"/>
  <c r="M13" i="27" l="1"/>
  <c r="I13" i="27"/>
  <c r="Q13" i="27"/>
  <c r="C10" i="27"/>
  <c r="B11" i="26"/>
  <c r="D11" i="26"/>
  <c r="C11" i="26"/>
  <c r="B12" i="26"/>
  <c r="B13" i="26" s="1"/>
  <c r="D12" i="26"/>
  <c r="D13" i="26" s="1"/>
  <c r="C12" i="26"/>
  <c r="C13" i="26" s="1"/>
  <c r="E16" i="25"/>
  <c r="F16" i="25"/>
  <c r="G16" i="25"/>
  <c r="H19" i="25"/>
  <c r="I19" i="25"/>
  <c r="I25" i="25"/>
  <c r="H7" i="25"/>
  <c r="I7" i="25"/>
  <c r="I8" i="25" s="1"/>
  <c r="H9" i="25"/>
  <c r="I9" i="25"/>
  <c r="H11" i="25"/>
  <c r="I11" i="25"/>
  <c r="I5" i="25"/>
  <c r="H5" i="25"/>
  <c r="I4" i="25"/>
  <c r="H4" i="25"/>
  <c r="F19" i="25"/>
  <c r="G19" i="25"/>
  <c r="F11" i="25"/>
  <c r="G11" i="25"/>
  <c r="F9" i="25"/>
  <c r="G9" i="25"/>
  <c r="G7" i="25"/>
  <c r="G8" i="25" s="1"/>
  <c r="F7" i="25"/>
  <c r="F8" i="25" s="1"/>
  <c r="E19" i="25"/>
  <c r="E11" i="25"/>
  <c r="E9" i="25"/>
  <c r="E8" i="25"/>
  <c r="C6" i="20"/>
  <c r="C5" i="20"/>
  <c r="X18" i="24"/>
  <c r="P18" i="24"/>
  <c r="C17" i="24"/>
  <c r="C21" i="24" s="1"/>
  <c r="C16" i="24"/>
  <c r="C8" i="24"/>
  <c r="C7" i="24" s="1"/>
  <c r="I18" i="24" s="1"/>
  <c r="L18" i="24" s="1"/>
  <c r="N18" i="24" s="1"/>
  <c r="C6" i="24"/>
  <c r="C3" i="24"/>
  <c r="C2" i="24"/>
  <c r="C17" i="23"/>
  <c r="C16" i="23" s="1"/>
  <c r="X18" i="23"/>
  <c r="P18" i="23"/>
  <c r="C8" i="23"/>
  <c r="C7" i="23" s="1"/>
  <c r="C6" i="23"/>
  <c r="C3" i="23"/>
  <c r="C2" i="23"/>
  <c r="G10" i="23" s="1"/>
  <c r="M9" i="27" l="1"/>
  <c r="C10" i="24"/>
  <c r="G10" i="24"/>
  <c r="F10" i="25"/>
  <c r="F12" i="25" s="1"/>
  <c r="I10" i="25"/>
  <c r="I12" i="25" s="1"/>
  <c r="G10" i="25"/>
  <c r="G12" i="25" s="1"/>
  <c r="H8" i="25"/>
  <c r="H10" i="25" s="1"/>
  <c r="H12" i="25" s="1"/>
  <c r="E10" i="25"/>
  <c r="E12" i="25" s="1"/>
  <c r="R18" i="24"/>
  <c r="T18" i="24" s="1"/>
  <c r="V18" i="24" s="1"/>
  <c r="Z18" i="24"/>
  <c r="AB18" i="24" s="1"/>
  <c r="AD18" i="24" s="1"/>
  <c r="C13" i="24"/>
  <c r="C18" i="24"/>
  <c r="C13" i="23"/>
  <c r="Z18" i="23"/>
  <c r="AB18" i="23" s="1"/>
  <c r="AD18" i="23" s="1"/>
  <c r="I18" i="23"/>
  <c r="L18" i="23" s="1"/>
  <c r="N18" i="23" s="1"/>
  <c r="C21" i="23"/>
  <c r="R18" i="23"/>
  <c r="T18" i="23" s="1"/>
  <c r="V18" i="23" s="1"/>
  <c r="C18" i="23"/>
  <c r="C19" i="23" s="1"/>
  <c r="C5" i="23" s="1"/>
  <c r="I12" i="23" s="1"/>
  <c r="L14" i="23" s="1"/>
  <c r="C10" i="23"/>
  <c r="C13" i="20"/>
  <c r="C3" i="20"/>
  <c r="I27" i="25" s="1"/>
  <c r="C2" i="20"/>
  <c r="I26" i="25" s="1"/>
  <c r="C17" i="16"/>
  <c r="C16" i="16" s="1"/>
  <c r="C3" i="16"/>
  <c r="C2" i="16"/>
  <c r="C7" i="16"/>
  <c r="C8" i="16"/>
  <c r="C8" i="18"/>
  <c r="C7" i="18" s="1"/>
  <c r="C17" i="18"/>
  <c r="C16" i="18" s="1"/>
  <c r="C6" i="18"/>
  <c r="C3" i="18"/>
  <c r="C2" i="18"/>
  <c r="C13" i="18" s="1"/>
  <c r="C8" i="2"/>
  <c r="C6" i="2"/>
  <c r="C3" i="2"/>
  <c r="C2" i="2"/>
  <c r="C8" i="19"/>
  <c r="C3" i="19"/>
  <c r="M7" i="27" l="1"/>
  <c r="K7" i="27" s="1"/>
  <c r="C9" i="27" s="1"/>
  <c r="I28" i="25"/>
  <c r="H15" i="25" s="1"/>
  <c r="G18" i="25"/>
  <c r="G20" i="25" s="1"/>
  <c r="G21" i="25" s="1"/>
  <c r="G22" i="25" s="1"/>
  <c r="E18" i="25"/>
  <c r="E20" i="25" s="1"/>
  <c r="E21" i="25" s="1"/>
  <c r="E22" i="25" s="1"/>
  <c r="F18" i="25"/>
  <c r="F20" i="25" s="1"/>
  <c r="F21" i="25" s="1"/>
  <c r="F22" i="25" s="1"/>
  <c r="C19" i="24"/>
  <c r="C5" i="24" s="1"/>
  <c r="I12" i="24" s="1"/>
  <c r="C4" i="24"/>
  <c r="I8" i="24" s="1"/>
  <c r="C4" i="23"/>
  <c r="I8" i="23" s="1"/>
  <c r="N12" i="23"/>
  <c r="N16" i="23"/>
  <c r="L6" i="23"/>
  <c r="L10" i="23"/>
  <c r="C10" i="18"/>
  <c r="C4" i="20"/>
  <c r="C11" i="27" l="1"/>
  <c r="V16" i="23"/>
  <c r="AD16" i="23"/>
  <c r="V12" i="23"/>
  <c r="AD12" i="23"/>
  <c r="I15" i="25"/>
  <c r="L10" i="24"/>
  <c r="L6" i="24"/>
  <c r="L14" i="24"/>
  <c r="N8" i="23"/>
  <c r="N4" i="23"/>
  <c r="J12" i="23"/>
  <c r="C8" i="20"/>
  <c r="C11" i="20"/>
  <c r="C12" i="27" l="1"/>
  <c r="C14" i="27" s="1"/>
  <c r="AD14" i="23"/>
  <c r="AB14" i="23" s="1"/>
  <c r="V4" i="23"/>
  <c r="AD4" i="23"/>
  <c r="V8" i="23"/>
  <c r="V10" i="23" s="1"/>
  <c r="T10" i="23" s="1"/>
  <c r="AD8" i="23"/>
  <c r="AD10" i="23" s="1"/>
  <c r="AB10" i="23" s="1"/>
  <c r="AB12" i="23" s="1"/>
  <c r="Z12" i="23" s="1"/>
  <c r="J12" i="24"/>
  <c r="N12" i="24"/>
  <c r="N16" i="24"/>
  <c r="N8" i="24"/>
  <c r="N4" i="24"/>
  <c r="V6" i="23"/>
  <c r="T6" i="23" s="1"/>
  <c r="V14" i="23"/>
  <c r="T14" i="23" s="1"/>
  <c r="C7" i="2"/>
  <c r="O13" i="19"/>
  <c r="K13" i="19"/>
  <c r="C7" i="19"/>
  <c r="O13" i="18"/>
  <c r="K13" i="18"/>
  <c r="G7" i="18"/>
  <c r="C6" i="16"/>
  <c r="T13" i="16"/>
  <c r="N13" i="16"/>
  <c r="T12" i="23" l="1"/>
  <c r="R12" i="23" s="1"/>
  <c r="R10" i="23" s="1"/>
  <c r="P10" i="23" s="1"/>
  <c r="T8" i="23"/>
  <c r="R8" i="23" s="1"/>
  <c r="I13" i="16"/>
  <c r="L13" i="16" s="1"/>
  <c r="AD6" i="23"/>
  <c r="AB6" i="23" s="1"/>
  <c r="AB8" i="23" s="1"/>
  <c r="Z8" i="23" s="1"/>
  <c r="Z10" i="23" s="1"/>
  <c r="X10" i="23" s="1"/>
  <c r="D17" i="26" s="1"/>
  <c r="V16" i="24"/>
  <c r="AD16" i="24"/>
  <c r="V12" i="24"/>
  <c r="V14" i="24" s="1"/>
  <c r="T14" i="24" s="1"/>
  <c r="AD12" i="24"/>
  <c r="AD14" i="24" s="1"/>
  <c r="AB14" i="24" s="1"/>
  <c r="V4" i="24"/>
  <c r="AD4" i="24"/>
  <c r="V8" i="24"/>
  <c r="V10" i="24" s="1"/>
  <c r="AD8" i="24"/>
  <c r="AD10" i="24" s="1"/>
  <c r="C14" i="20"/>
  <c r="C13" i="19"/>
  <c r="C18" i="16"/>
  <c r="C4" i="16" s="1"/>
  <c r="I5" i="16" s="1"/>
  <c r="I13" i="19"/>
  <c r="M13" i="19"/>
  <c r="I13" i="18"/>
  <c r="Q13" i="19"/>
  <c r="G7" i="19"/>
  <c r="I7" i="19" s="1"/>
  <c r="C10" i="19"/>
  <c r="P13" i="16"/>
  <c r="R13" i="16" s="1"/>
  <c r="V13" i="16"/>
  <c r="X13" i="16" s="1"/>
  <c r="C13" i="16"/>
  <c r="C10" i="16"/>
  <c r="G7" i="16"/>
  <c r="C9" i="23" l="1"/>
  <c r="C11" i="23" s="1"/>
  <c r="D16" i="26"/>
  <c r="D15" i="26"/>
  <c r="C12" i="23"/>
  <c r="C14" i="23" s="1"/>
  <c r="AB10" i="24"/>
  <c r="AB12" i="24" s="1"/>
  <c r="Z12" i="24" s="1"/>
  <c r="T10" i="24"/>
  <c r="T12" i="24" s="1"/>
  <c r="R12" i="24" s="1"/>
  <c r="AD6" i="24"/>
  <c r="V6" i="24"/>
  <c r="C15" i="20"/>
  <c r="C16" i="20"/>
  <c r="C18" i="20"/>
  <c r="C19" i="16"/>
  <c r="C5" i="16" s="1"/>
  <c r="I9" i="16" s="1"/>
  <c r="L11" i="16" s="1"/>
  <c r="M13" i="18"/>
  <c r="Q13" i="18"/>
  <c r="C18" i="18"/>
  <c r="C4" i="18" s="1"/>
  <c r="L3" i="16"/>
  <c r="T6" i="24" l="1"/>
  <c r="T8" i="24" s="1"/>
  <c r="R8" i="24" s="1"/>
  <c r="R10" i="24" s="1"/>
  <c r="P10" i="24" s="1"/>
  <c r="C9" i="24" s="1"/>
  <c r="C11" i="24" s="1"/>
  <c r="AB6" i="24"/>
  <c r="AB8" i="24" s="1"/>
  <c r="J9" i="16"/>
  <c r="L7" i="16"/>
  <c r="R7" i="16" s="1"/>
  <c r="C19" i="20"/>
  <c r="C10" i="20" s="1"/>
  <c r="C12" i="20" s="1"/>
  <c r="C17" i="20"/>
  <c r="C7" i="20" s="1"/>
  <c r="X11" i="16"/>
  <c r="R11" i="16"/>
  <c r="C19" i="18"/>
  <c r="I5" i="18"/>
  <c r="X3" i="16"/>
  <c r="R3" i="16"/>
  <c r="Z8" i="24" l="1"/>
  <c r="Z10" i="24" s="1"/>
  <c r="X7" i="16"/>
  <c r="X9" i="16" s="1"/>
  <c r="V9" i="16" s="1"/>
  <c r="I29" i="25"/>
  <c r="I30" i="25" s="1"/>
  <c r="I31" i="25" s="1"/>
  <c r="C5" i="18"/>
  <c r="I9" i="18" s="1"/>
  <c r="C9" i="20"/>
  <c r="Q5" i="18"/>
  <c r="M5" i="18"/>
  <c r="R9" i="16"/>
  <c r="P9" i="16" s="1"/>
  <c r="R5" i="16"/>
  <c r="X5" i="16"/>
  <c r="X10" i="24" l="1"/>
  <c r="H14" i="25"/>
  <c r="H16" i="25" s="1"/>
  <c r="H18" i="25" s="1"/>
  <c r="H20" i="25" s="1"/>
  <c r="H21" i="25" s="1"/>
  <c r="H22" i="25" s="1"/>
  <c r="I14" i="25"/>
  <c r="I16" i="25" s="1"/>
  <c r="I18" i="25" s="1"/>
  <c r="I20" i="25" s="1"/>
  <c r="I21" i="25" s="1"/>
  <c r="I22" i="25" s="1"/>
  <c r="M9" i="18"/>
  <c r="J9" i="18"/>
  <c r="Q9" i="18"/>
  <c r="P5" i="16"/>
  <c r="P7" i="16" s="1"/>
  <c r="V5" i="16"/>
  <c r="V7" i="16" s="1"/>
  <c r="C12" i="24" l="1"/>
  <c r="C14" i="24" s="1"/>
  <c r="D18" i="26"/>
  <c r="M7" i="18"/>
  <c r="K7" i="18" s="1"/>
  <c r="Q7" i="18"/>
  <c r="O7" i="18" s="1"/>
  <c r="T7" i="16"/>
  <c r="N7" i="16"/>
  <c r="C9" i="16" l="1"/>
  <c r="C11" i="16" s="1"/>
  <c r="C16" i="26"/>
  <c r="C12" i="16"/>
  <c r="C18" i="26"/>
  <c r="C12" i="18"/>
  <c r="C14" i="18" s="1"/>
  <c r="B18" i="26"/>
  <c r="C9" i="18"/>
  <c r="C11" i="18" s="1"/>
  <c r="B16" i="26"/>
  <c r="C14" i="16"/>
  <c r="I13" i="2" l="1"/>
  <c r="L13" i="2" s="1"/>
  <c r="T13" i="2" l="1"/>
  <c r="V13" i="2" s="1"/>
  <c r="X13" i="2" s="1"/>
  <c r="N13" i="2"/>
  <c r="P13" i="2" s="1"/>
  <c r="R13" i="2" s="1"/>
  <c r="C13" i="2" l="1"/>
  <c r="C10" i="2"/>
  <c r="I5" i="2"/>
  <c r="G7" i="2"/>
  <c r="L3" i="2" l="1"/>
  <c r="R3" i="2" l="1"/>
  <c r="X3" i="2"/>
  <c r="I5" i="19" l="1"/>
  <c r="M5" i="19" s="1"/>
  <c r="Q5" i="19" l="1"/>
  <c r="I9" i="19"/>
  <c r="M9" i="19" s="1"/>
  <c r="J5" i="19" l="1"/>
  <c r="J9" i="19" s="1"/>
  <c r="B23" i="26" s="1"/>
  <c r="Q9" i="19"/>
  <c r="B21" i="26" l="1"/>
  <c r="B24" i="26" s="1"/>
  <c r="M7" i="19"/>
  <c r="K7" i="19" s="1"/>
  <c r="C9" i="19" s="1"/>
  <c r="C11" i="19" s="1"/>
  <c r="Q7" i="19"/>
  <c r="O7" i="19" s="1"/>
  <c r="C22" i="19" s="1"/>
  <c r="B15" i="26"/>
  <c r="C21" i="19" l="1"/>
  <c r="C23" i="19"/>
  <c r="C24" i="19"/>
  <c r="B17" i="26"/>
  <c r="C12" i="19"/>
  <c r="C14" i="19" s="1"/>
  <c r="C5" i="2"/>
  <c r="I9" i="2" l="1"/>
  <c r="L7" i="2" l="1"/>
  <c r="L11" i="2"/>
  <c r="J5" i="2"/>
  <c r="X7" i="2" l="1"/>
  <c r="R7" i="2"/>
  <c r="C21" i="26"/>
  <c r="J9" i="2"/>
  <c r="C23" i="26" s="1"/>
  <c r="X11" i="2"/>
  <c r="R11" i="2"/>
  <c r="R5" i="2" l="1"/>
  <c r="P5" i="2" s="1"/>
  <c r="X9" i="2"/>
  <c r="V9" i="2" s="1"/>
  <c r="X5" i="2"/>
  <c r="V5" i="2" s="1"/>
  <c r="C22" i="26"/>
  <c r="C24" i="26" s="1"/>
  <c r="R9" i="2"/>
  <c r="P9" i="2" s="1"/>
  <c r="P7" i="2" s="1"/>
  <c r="N7" i="2" s="1"/>
  <c r="V7" i="2" l="1"/>
  <c r="T7" i="2" s="1"/>
  <c r="C12" i="2" s="1"/>
  <c r="C14" i="2" s="1"/>
  <c r="C9" i="2"/>
  <c r="C11" i="2" s="1"/>
  <c r="C15" i="26"/>
  <c r="C17" i="26"/>
</calcChain>
</file>

<file path=xl/sharedStrings.xml><?xml version="1.0" encoding="utf-8"?>
<sst xmlns="http://schemas.openxmlformats.org/spreadsheetml/2006/main" count="874" uniqueCount="366">
  <si>
    <t>Exercise price</t>
  </si>
  <si>
    <t>Up price</t>
  </si>
  <si>
    <t>Down price</t>
  </si>
  <si>
    <t>One year risk-free rate</t>
  </si>
  <si>
    <t>Time to maturity (years)</t>
  </si>
  <si>
    <t>RN Prob</t>
  </si>
  <si>
    <t xml:space="preserve">Call </t>
  </si>
  <si>
    <t>Put</t>
  </si>
  <si>
    <t>Value of the call option</t>
  </si>
  <si>
    <t>Value of the put option</t>
  </si>
  <si>
    <t>Time</t>
  </si>
  <si>
    <t>Intrinsic value of the call option</t>
  </si>
  <si>
    <t>Time value of the call option</t>
  </si>
  <si>
    <t>Intrinsic value of the put option</t>
  </si>
  <si>
    <t>Time value of the put option</t>
  </si>
  <si>
    <t>Time step</t>
  </si>
  <si>
    <t>Current underlying asset price</t>
  </si>
  <si>
    <t>Monthly standard deviation</t>
  </si>
  <si>
    <t>Annualised standard deviation</t>
  </si>
  <si>
    <t>Up factor</t>
  </si>
  <si>
    <t>Down factor</t>
  </si>
  <si>
    <t>Underlying asset price</t>
  </si>
  <si>
    <t>Continuously-compounded risk-free rate</t>
  </si>
  <si>
    <t>Risk-free rate as an effective annual rate</t>
  </si>
  <si>
    <t>Value of a European call option</t>
  </si>
  <si>
    <t>Value of a European put option</t>
  </si>
  <si>
    <t>Annualized volatility</t>
  </si>
  <si>
    <t>d1</t>
  </si>
  <si>
    <t>d2</t>
  </si>
  <si>
    <t>N(d1)</t>
  </si>
  <si>
    <t>N(d2)</t>
  </si>
  <si>
    <t>N(-d1)</t>
  </si>
  <si>
    <t>N(-d2)</t>
  </si>
  <si>
    <t>Net cost of hedging</t>
  </si>
  <si>
    <t>Annualized standard deviation</t>
  </si>
  <si>
    <t>Spot price</t>
  </si>
  <si>
    <t xml:space="preserve">Term to maturity </t>
  </si>
  <si>
    <t>Risk-free rate</t>
  </si>
  <si>
    <t>Gross profit</t>
  </si>
  <si>
    <t>SG&amp;A expenses</t>
  </si>
  <si>
    <t>Pre-tax income</t>
  </si>
  <si>
    <t>Net income</t>
  </si>
  <si>
    <t>Cost of goods sold</t>
  </si>
  <si>
    <t>Interest expense</t>
  </si>
  <si>
    <t>Income tax rate</t>
  </si>
  <si>
    <t>Income taxes</t>
  </si>
  <si>
    <t>Realized average exchange rate</t>
  </si>
  <si>
    <t>Realised end exchange rate</t>
  </si>
  <si>
    <t>Net sales (¥B)</t>
  </si>
  <si>
    <t>Net sales ($m)</t>
  </si>
  <si>
    <t>Annual expense assumptions ($m)</t>
  </si>
  <si>
    <t>Operating profit excluding hedging activities</t>
  </si>
  <si>
    <t>Cost of hedging</t>
  </si>
  <si>
    <t>Hedging payoff</t>
  </si>
  <si>
    <t>Operating profit including hedging activities</t>
  </si>
  <si>
    <t>Number of contracts to be bought</t>
  </si>
  <si>
    <t>Price of a call option</t>
  </si>
  <si>
    <t>Sales to be hedged</t>
  </si>
  <si>
    <t>Hedging cost</t>
  </si>
  <si>
    <t>Steps</t>
  </si>
  <si>
    <t>Time step (years)</t>
  </si>
  <si>
    <t>European call value</t>
  </si>
  <si>
    <t>American call value</t>
  </si>
  <si>
    <t>European put value</t>
  </si>
  <si>
    <t>American put value</t>
  </si>
  <si>
    <t>Continuous</t>
  </si>
  <si>
    <t>Many</t>
  </si>
  <si>
    <r>
      <t>e</t>
    </r>
    <r>
      <rPr>
        <vertAlign val="superscript"/>
        <sz val="10"/>
        <color theme="1"/>
        <rFont val="Calibri"/>
        <family val="2"/>
      </rPr>
      <t>Annualised volatility√Time step</t>
    </r>
  </si>
  <si>
    <r>
      <t>e</t>
    </r>
    <r>
      <rPr>
        <vertAlign val="superscript"/>
        <sz val="10"/>
        <color theme="1"/>
        <rFont val="Calibri"/>
        <family val="2"/>
        <scheme val="minor"/>
      </rPr>
      <t>0.09756</t>
    </r>
    <r>
      <rPr>
        <vertAlign val="superscript"/>
        <sz val="10"/>
        <color theme="1"/>
        <rFont val="Calibri"/>
        <family val="2"/>
      </rPr>
      <t>√0.25</t>
    </r>
  </si>
  <si>
    <r>
      <t>e</t>
    </r>
    <r>
      <rPr>
        <vertAlign val="superscript"/>
        <sz val="10"/>
        <color theme="1"/>
        <rFont val="Calibri"/>
        <family val="2"/>
        <scheme val="minor"/>
      </rPr>
      <t>0.09756</t>
    </r>
    <r>
      <rPr>
        <vertAlign val="superscript"/>
        <sz val="10"/>
        <color theme="1"/>
        <rFont val="Calibri"/>
        <family val="2"/>
      </rPr>
      <t>√0.17</t>
    </r>
  </si>
  <si>
    <r>
      <t>e</t>
    </r>
    <r>
      <rPr>
        <vertAlign val="superscript"/>
        <sz val="10"/>
        <color theme="1"/>
        <rFont val="Calibri"/>
        <family val="2"/>
        <scheme val="minor"/>
      </rPr>
      <t>0.09756</t>
    </r>
    <r>
      <rPr>
        <vertAlign val="superscript"/>
        <sz val="10"/>
        <color theme="1"/>
        <rFont val="Calibri"/>
        <family val="2"/>
      </rPr>
      <t>√0.5</t>
    </r>
    <r>
      <rPr>
        <vertAlign val="superscript"/>
        <sz val="10"/>
        <color theme="1"/>
        <rFont val="Calibri"/>
        <family val="2"/>
        <scheme val="minor"/>
      </rPr>
      <t>0</t>
    </r>
  </si>
  <si>
    <t>1/Up factor</t>
  </si>
  <si>
    <r>
      <t>(1 + risk-free rate)</t>
    </r>
    <r>
      <rPr>
        <vertAlign val="superscript"/>
        <sz val="10"/>
        <color theme="1"/>
        <rFont val="Calibri"/>
        <family val="2"/>
      </rPr>
      <t>Time step</t>
    </r>
  </si>
  <si>
    <r>
      <t>(1 + 0.00%)</t>
    </r>
    <r>
      <rPr>
        <vertAlign val="superscript"/>
        <sz val="10"/>
        <color theme="1"/>
        <rFont val="Calibri"/>
        <family val="2"/>
      </rPr>
      <t>0.50</t>
    </r>
  </si>
  <si>
    <r>
      <t>(1 + 0.00%)</t>
    </r>
    <r>
      <rPr>
        <vertAlign val="superscript"/>
        <sz val="10"/>
        <color theme="1"/>
        <rFont val="Calibri"/>
        <family val="2"/>
      </rPr>
      <t>0.25</t>
    </r>
  </si>
  <si>
    <r>
      <t>(1 + 0.00%)</t>
    </r>
    <r>
      <rPr>
        <vertAlign val="superscript"/>
        <sz val="10"/>
        <color theme="1"/>
        <rFont val="Calibri"/>
        <family val="2"/>
      </rPr>
      <t>0.17</t>
    </r>
  </si>
  <si>
    <t>RN prob up = (Future value of underlying - Down value)/(Up value - Down value)</t>
  </si>
  <si>
    <t>RN prob down = 1 - RN prob down</t>
  </si>
  <si>
    <t>Option values:</t>
  </si>
  <si>
    <t>Future value of the underlying asset in one time step per unit of investment?</t>
  </si>
  <si>
    <t>Risk-neutral probabilities:</t>
  </si>
  <si>
    <t>Overall risk-neutral probability that the option finishes in the money at expiration:</t>
  </si>
  <si>
    <t>Call &amp; put - at the money</t>
  </si>
  <si>
    <t>Call in the money</t>
  </si>
  <si>
    <t>Put in the money</t>
  </si>
  <si>
    <t>Total</t>
  </si>
  <si>
    <t>Hedging position</t>
  </si>
  <si>
    <t>Unhedged</t>
  </si>
  <si>
    <t>Hedged</t>
  </si>
  <si>
    <t>Scenario (from a revenue perspective)</t>
  </si>
  <si>
    <t>Expected</t>
  </si>
  <si>
    <t>Good</t>
  </si>
  <si>
    <t>Bad</t>
  </si>
  <si>
    <t>RW down prob</t>
  </si>
  <si>
    <t>RW up prob\</t>
  </si>
  <si>
    <t>Value of put option:</t>
  </si>
  <si>
    <t>Expected return of stock:</t>
  </si>
  <si>
    <t>Exptected return on put:</t>
  </si>
  <si>
    <t>Exptected return on stock + put</t>
  </si>
  <si>
    <t>Payoff to put option holder:</t>
  </si>
  <si>
    <t>Put option value:</t>
  </si>
  <si>
    <t>Incremental Value:</t>
  </si>
  <si>
    <t>Date</t>
  </si>
  <si>
    <t>Price</t>
  </si>
  <si>
    <t>Return</t>
  </si>
  <si>
    <t>days:</t>
  </si>
  <si>
    <t>Straddle six months:</t>
  </si>
  <si>
    <t>Straddle one year:</t>
  </si>
  <si>
    <t>Both:</t>
  </si>
  <si>
    <t>Value at the end of six months:</t>
  </si>
  <si>
    <t>Return at the end of 6 months:</t>
  </si>
  <si>
    <t>Last index price</t>
  </si>
  <si>
    <t>Per unit sale price</t>
  </si>
  <si>
    <t>Base case revenue ($m)</t>
  </si>
  <si>
    <t>Base case earnings before interest and tax (EBIT) ($m)</t>
  </si>
  <si>
    <t>Call option price</t>
  </si>
  <si>
    <t>Put option price</t>
  </si>
  <si>
    <t>Call options purchased (m)</t>
  </si>
  <si>
    <t>For part C, put options sold (m)</t>
  </si>
  <si>
    <t>Scenario</t>
  </si>
  <si>
    <t>Low</t>
  </si>
  <si>
    <t>Base</t>
  </si>
  <si>
    <t>High</t>
  </si>
  <si>
    <t>Units (m)</t>
  </si>
  <si>
    <t>Purchase price</t>
  </si>
  <si>
    <t>Index value</t>
  </si>
  <si>
    <t>Sales (m)</t>
  </si>
  <si>
    <t>EBIT</t>
  </si>
  <si>
    <t>Cost</t>
  </si>
  <si>
    <t>Today</t>
  </si>
  <si>
    <t>Q1</t>
  </si>
  <si>
    <t>Q2</t>
  </si>
  <si>
    <t>Q3</t>
  </si>
  <si>
    <t>Q4</t>
  </si>
  <si>
    <t>Copper price today</t>
  </si>
  <si>
    <t>At-the-money option prices for different maturities</t>
  </si>
  <si>
    <t>Hedge</t>
  </si>
  <si>
    <t>Annual copper-equivalent purchases (m pounds)</t>
  </si>
  <si>
    <t>Impact on pre-tax income from a 1 cent change in the copper price</t>
  </si>
  <si>
    <t>change per pound</t>
  </si>
  <si>
    <t>Assuming "risk exposure" means volume</t>
  </si>
  <si>
    <t>Copper-equivalent purchases (m pounds)</t>
  </si>
  <si>
    <t>Copper options purchased (m)</t>
  </si>
  <si>
    <t>Cost of options ($m)</t>
  </si>
  <si>
    <t>Option payoff</t>
  </si>
  <si>
    <t>Option payoff less cost of hedge</t>
  </si>
  <si>
    <t>Unhedged: Impact on pre-tax profit vs copper price remaining at today's level</t>
  </si>
  <si>
    <t>Hedged: Impact on pre-tax profit vs copper price remaining at today's level</t>
  </si>
  <si>
    <t>Assuming "risk exposure" means pre-tax profit impact</t>
  </si>
  <si>
    <t>Copper options purchased</t>
  </si>
  <si>
    <t>Price:</t>
  </si>
  <si>
    <t>Value of call:</t>
  </si>
  <si>
    <t>Month</t>
  </si>
  <si>
    <t>&lt;- Don’t pay attention to this</t>
  </si>
  <si>
    <t>REMEMBER</t>
  </si>
  <si>
    <t>EXP(annualized volatility)</t>
  </si>
  <si>
    <t>(or e^(ann vol))</t>
  </si>
  <si>
    <t>periods</t>
  </si>
  <si>
    <r>
      <t xml:space="preserve">In order to find </t>
    </r>
    <r>
      <rPr>
        <b/>
        <sz val="10"/>
        <color theme="1"/>
        <rFont val="Calibri"/>
        <family val="2"/>
        <scheme val="minor"/>
      </rPr>
      <t>up factor</t>
    </r>
    <r>
      <rPr>
        <sz val="10"/>
        <color theme="1"/>
        <rFont val="Calibri"/>
        <family val="2"/>
        <scheme val="minor"/>
      </rPr>
      <t xml:space="preserve"> of a series of data:</t>
    </r>
  </si>
  <si>
    <t>1/up factor</t>
  </si>
  <si>
    <t>OR</t>
  </si>
  <si>
    <t>exp(-annualized vol)</t>
  </si>
  <si>
    <t>EUROPEAN OPTION</t>
  </si>
  <si>
    <t>This one is important!!!</t>
  </si>
  <si>
    <t>You must multiply by the sqrt of the increment of time years if you have annualized volatility and you are trying to find</t>
  </si>
  <si>
    <t>Annual up factor</t>
  </si>
  <si>
    <t>annual down factor</t>
  </si>
  <si>
    <t>quarterly up factor</t>
  </si>
  <si>
    <t>quarterly down factor</t>
  </si>
  <si>
    <t>long</t>
  </si>
  <si>
    <t xml:space="preserve">short </t>
  </si>
  <si>
    <t>5 calls</t>
  </si>
  <si>
    <t>5 puts</t>
  </si>
  <si>
    <t>exercise: 31</t>
  </si>
  <si>
    <t>exercise: 20</t>
  </si>
  <si>
    <t>value of shares:</t>
  </si>
  <si>
    <t>value of down portfolio in one year:</t>
  </si>
  <si>
    <t>current price:</t>
  </si>
  <si>
    <t>up</t>
  </si>
  <si>
    <t>down</t>
  </si>
  <si>
    <t>payoff on calls</t>
  </si>
  <si>
    <t>payoff on puts</t>
  </si>
  <si>
    <t>RW up prob</t>
  </si>
  <si>
    <t>EUROPEAN</t>
  </si>
  <si>
    <t>AMERICAN</t>
  </si>
  <si>
    <t>Stock price</t>
  </si>
  <si>
    <t>Expected usage:</t>
  </si>
  <si>
    <t>Actual usage:</t>
  </si>
  <si>
    <t>Cost of buying copper:</t>
  </si>
  <si>
    <t>Cost of buying call options</t>
  </si>
  <si>
    <t>Option strike:</t>
  </si>
  <si>
    <t>AUD to USD</t>
  </si>
  <si>
    <t>Exercise:</t>
  </si>
  <si>
    <t>Fixed cost</t>
  </si>
  <si>
    <t>COGS</t>
  </si>
  <si>
    <t>Expected is just for hedging, when you are figuring out actual profit, USE ACTUAL</t>
  </si>
  <si>
    <t xml:space="preserve"> =</t>
  </si>
  <si>
    <t>Expected is just for hedging, when you are figuring out impact on profit, and you're creating the income statement USE WHAT ACTUALLY HAPPENED</t>
  </si>
  <si>
    <t>price of calls</t>
  </si>
  <si>
    <t>amount (m)</t>
  </si>
  <si>
    <t>Cost to hedge:</t>
  </si>
  <si>
    <t>profit:</t>
  </si>
  <si>
    <t>DTE</t>
  </si>
  <si>
    <t>Borrowing rate</t>
  </si>
  <si>
    <t>Security</t>
  </si>
  <si>
    <t>Up</t>
  </si>
  <si>
    <t>Down</t>
  </si>
  <si>
    <t>Gamestop</t>
  </si>
  <si>
    <t>Options</t>
  </si>
  <si>
    <t>Exercise</t>
  </si>
  <si>
    <t>Put price</t>
  </si>
  <si>
    <t>Call price</t>
  </si>
  <si>
    <t>Puts</t>
  </si>
  <si>
    <t>Calls</t>
  </si>
  <si>
    <t>How much additional cash to put in?</t>
  </si>
  <si>
    <t>Gamestop shares</t>
  </si>
  <si>
    <t>Payoff on Gamestop puts</t>
  </si>
  <si>
    <t>Payoff on Gamestop calls</t>
  </si>
  <si>
    <t>DTE shares</t>
  </si>
  <si>
    <t>Payoff on DTE puts</t>
  </si>
  <si>
    <t>Payoff on DTE calls</t>
  </si>
  <si>
    <t>Repayment of loan</t>
  </si>
  <si>
    <t>Portfolio value</t>
  </si>
  <si>
    <t>Average portfolio value</t>
  </si>
  <si>
    <t>SPY Index Value</t>
  </si>
  <si>
    <t>exercise</t>
  </si>
  <si>
    <t>march price</t>
  </si>
  <si>
    <t>starting</t>
  </si>
  <si>
    <t>buy one spy</t>
  </si>
  <si>
    <t>call price net of puts</t>
  </si>
  <si>
    <t>index at march</t>
  </si>
  <si>
    <t>21 march call payoff</t>
  </si>
  <si>
    <t>21 march put payoff</t>
  </si>
  <si>
    <t>qty</t>
  </si>
  <si>
    <t>put price</t>
  </si>
  <si>
    <t>call price</t>
  </si>
  <si>
    <t>index at april</t>
  </si>
  <si>
    <t>march</t>
  </si>
  <si>
    <t>april</t>
  </si>
  <si>
    <t>may</t>
  </si>
  <si>
    <t>apr call payoff</t>
  </si>
  <si>
    <t>apr put payoff</t>
  </si>
  <si>
    <t>index at may</t>
  </si>
  <si>
    <t>may call payoff</t>
  </si>
  <si>
    <t>may put payoff</t>
  </si>
  <si>
    <t>wealth</t>
  </si>
  <si>
    <t>S&amp;P 500</t>
  </si>
  <si>
    <t>Initial wealth</t>
  </si>
  <si>
    <t>Expiration</t>
  </si>
  <si>
    <t>Implied volatility</t>
  </si>
  <si>
    <t>S&amp;P 500 end</t>
  </si>
  <si>
    <t>Call payoff</t>
  </si>
  <si>
    <t>Put payoff</t>
  </si>
  <si>
    <t>Total payoff</t>
  </si>
  <si>
    <t>Wealth</t>
  </si>
  <si>
    <t>Wealth at start</t>
  </si>
  <si>
    <t>Cost of S&amp;P 500</t>
  </si>
  <si>
    <t>Cost of calls</t>
  </si>
  <si>
    <t>Sale of puts</t>
  </si>
  <si>
    <t>Payoff from calls</t>
  </si>
  <si>
    <t>Payoff from puts</t>
  </si>
  <si>
    <t>Wealth at end</t>
  </si>
  <si>
    <t>To find payoff of put:</t>
  </si>
  <si>
    <t>To find payoff of call:</t>
  </si>
  <si>
    <t xml:space="preserve">max(strike-current price,0)*number of put </t>
  </si>
  <si>
    <t>max(current price-strike, 0)*number of calls</t>
  </si>
  <si>
    <t>For expected return multiply the real world probabilities with the potential payoffs of the put/call after reaching a specific down/up factor</t>
  </si>
  <si>
    <t>Expected return on call:</t>
  </si>
  <si>
    <t>Expected return on portfolio + call</t>
  </si>
  <si>
    <t>up factor</t>
  </si>
  <si>
    <t>down factor</t>
  </si>
  <si>
    <t>daily SD</t>
  </si>
  <si>
    <t>Annual SD</t>
  </si>
  <si>
    <t>This is a relatively simple concept but it is easy to mess up, make sure you're paying attention to it</t>
  </si>
  <si>
    <t>For currencies, be careful to look at what it converts into, for example, if one AUD buys 0.7172 USD you know if you need to hedge 4000 usd, then you need to hedge ~5500 AUD</t>
  </si>
  <si>
    <t>Cost of trip (AUD)</t>
  </si>
  <si>
    <t>Maximum allowed cost (USD)</t>
  </si>
  <si>
    <t>Ending price</t>
  </si>
  <si>
    <t>Guaranteed maximum (AUD) and number of call options</t>
  </si>
  <si>
    <t>What does the trip cost (USD)?</t>
  </si>
  <si>
    <t>Direct cost</t>
  </si>
  <si>
    <t>Call option payoff</t>
  </si>
  <si>
    <t>Cost of call options (USD)</t>
  </si>
  <si>
    <t>Total trip cost</t>
  </si>
  <si>
    <t>Hard Delta Hedging Question:</t>
  </si>
  <si>
    <t>payoff to put option holder:</t>
  </si>
  <si>
    <t>value of the put</t>
  </si>
  <si>
    <t>incremental to the option being american</t>
  </si>
  <si>
    <t>put options sold</t>
  </si>
  <si>
    <t>units needed to hedge</t>
  </si>
  <si>
    <t>price per put</t>
  </si>
  <si>
    <t>price per call</t>
  </si>
  <si>
    <t>premium</t>
  </si>
  <si>
    <t>m in calls</t>
  </si>
  <si>
    <t>This is NOT the same as the commodity price index, this is simply what we are purchasing for, which may be different than the change in the commodity</t>
  </si>
  <si>
    <t>units</t>
  </si>
  <si>
    <t>revenue</t>
  </si>
  <si>
    <t>cost per unit</t>
  </si>
  <si>
    <t>other costs(filler)</t>
  </si>
  <si>
    <t>unhedged</t>
  </si>
  <si>
    <t>cost of options</t>
  </si>
  <si>
    <t>hedged EBIT</t>
  </si>
  <si>
    <t>premium from puts</t>
  </si>
  <si>
    <t>drawdown from puts</t>
  </si>
  <si>
    <t>Hedged EBIT</t>
  </si>
  <si>
    <t>Collar:</t>
  </si>
  <si>
    <t>Selling a call option and buying a put option</t>
  </si>
  <si>
    <t>ln(price2/price1)</t>
  </si>
  <si>
    <t>to find continuosly compounded returns</t>
  </si>
  <si>
    <t>annualized vol</t>
  </si>
  <si>
    <t>jump to front</t>
  </si>
  <si>
    <t>Jump to back</t>
  </si>
  <si>
    <t>Collar</t>
  </si>
  <si>
    <t>September 2011 jet fuel price</t>
  </si>
  <si>
    <t>Contracts</t>
  </si>
  <si>
    <t>m barrels</t>
  </si>
  <si>
    <t>X</t>
  </si>
  <si>
    <t>Call</t>
  </si>
  <si>
    <t>Price outcome</t>
  </si>
  <si>
    <t xml:space="preserve">Expected </t>
  </si>
  <si>
    <t>High prices</t>
  </si>
  <si>
    <t>Low prices</t>
  </si>
  <si>
    <t>Volume outcome</t>
  </si>
  <si>
    <t>Actual jet fuel price</t>
  </si>
  <si>
    <t>WTI oil price</t>
  </si>
  <si>
    <t>Expected fuel costs</t>
  </si>
  <si>
    <t>Unhedged fuel costs</t>
  </si>
  <si>
    <t>Expected fuel cost - unhedged fuel costs</t>
  </si>
  <si>
    <t>Benefit from call</t>
  </si>
  <si>
    <t>Benefit from collar</t>
  </si>
  <si>
    <t>Total benefits/cost from hedging</t>
  </si>
  <si>
    <t>Cost of the call</t>
  </si>
  <si>
    <t>Cost of the collar</t>
  </si>
  <si>
    <t>Total hedging benefit/cost</t>
  </si>
  <si>
    <t>Expected fuel cost - unhedged fuel costs + hedging benefit/cost</t>
  </si>
  <si>
    <t>Fuel cost inclusive of hedging</t>
  </si>
  <si>
    <t>Payoff from calls:</t>
  </si>
  <si>
    <t>total spent</t>
  </si>
  <si>
    <t>Option payoff (reduces total spent/cogs)</t>
  </si>
  <si>
    <t>Remember, if you can pass some of the economics onto consumers, This DOES NOT have an effect on the payoff of the calls!! You only look at the price of the underlying commodity</t>
  </si>
  <si>
    <t>This used american, just make sure to use european it doesn't matter because it’s a call option but just make sure to follow directions</t>
  </si>
  <si>
    <t>This is prob incorrect (the last one)</t>
  </si>
  <si>
    <t>Jump to front</t>
  </si>
  <si>
    <t>To convert effective annual rate to continuosly compounded:</t>
  </si>
  <si>
    <t>ln(1 + r(eff))</t>
  </si>
  <si>
    <t>Log return</t>
  </si>
  <si>
    <t>Units SPY</t>
  </si>
  <si>
    <t>Days per year</t>
  </si>
  <si>
    <t>Units options</t>
  </si>
  <si>
    <t>End SPY</t>
  </si>
  <si>
    <t>Term to maturity</t>
  </si>
  <si>
    <t>SPY</t>
  </si>
  <si>
    <t>Cost of options</t>
  </si>
  <si>
    <t>Daily standard deviation</t>
  </si>
  <si>
    <t>Annualised volatility of continuously-compounded returns</t>
  </si>
  <si>
    <t>N (d1)</t>
  </si>
  <si>
    <t>N (d2)</t>
  </si>
  <si>
    <t>N (-d1)</t>
  </si>
  <si>
    <t>N (-d2)</t>
  </si>
  <si>
    <t>Call option value</t>
  </si>
  <si>
    <t>Put option value</t>
  </si>
  <si>
    <t>When you have a portion of a period</t>
  </si>
  <si>
    <t>up factor:</t>
  </si>
  <si>
    <t>EXP(ann vol * SQRT(timestep))</t>
  </si>
  <si>
    <t>units required to hedge</t>
  </si>
  <si>
    <t>annualized 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</si>
</sst>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quot;$&quot;#,##0.00"/>
    <numFmt numFmtId="165" formatCode="0.0000"/>
    <numFmt numFmtId="166" formatCode="0.000"/>
    <numFmt numFmtId="167" formatCode="0.000%"/>
    <numFmt numFmtId="168" formatCode="0.0"/>
    <numFmt numFmtId="169" formatCode="&quot;$&quot;#,##0.0"/>
    <numFmt numFmtId="170" formatCode="[$¥-411]#,##0.0"/>
    <numFmt numFmtId="171" formatCode="[$¥-411]#,##0.00"/>
    <numFmt numFmtId="172" formatCode="[$¥-411]#,##0.00&quot;b&quot;"/>
    <numFmt numFmtId="173" formatCode="0&quot;m&quot;"/>
    <numFmt numFmtId="174" formatCode="[$¥-411]#,##0.00&quot;m&quot;"/>
    <numFmt numFmtId="175" formatCode="&quot;$&quot;#,##0.00&quot;m&quot;"/>
    <numFmt numFmtId="176" formatCode="0.0%"/>
    <numFmt numFmtId="177" formatCode="dd\-mmm\-yyyy"/>
    <numFmt numFmtId="178" formatCode="#,##0.0000"/>
    <numFmt numFmtId="179" formatCode="&quot;$&quot;#,##0"/>
    <numFmt numFmtId="180" formatCode="#,##0.0"/>
    <numFmt numFmtId="181" formatCode="dd\-mmm\-yy"/>
    <numFmt numFmtId="182" formatCode="&quot;$&quot;#,##0.000"/>
  </numFmts>
  <fonts count="12" x14ac:knownFonts="1">
    <font>
      <sz val="10"/>
      <color theme="1"/>
      <name val="Calibri"/>
      <family val="2"/>
      <scheme val="minor"/>
    </font>
    <font>
      <sz val="10"/>
      <color theme="1"/>
      <name val="Calibri"/>
      <family val="2"/>
      <scheme val="minor"/>
    </font>
    <font>
      <sz val="10"/>
      <color rgb="FF0066FF"/>
      <name val="Calibri"/>
      <family val="2"/>
      <scheme val="minor"/>
    </font>
    <font>
      <sz val="10"/>
      <name val="Calibri"/>
      <family val="2"/>
      <scheme val="minor"/>
    </font>
    <font>
      <sz val="10"/>
      <name val="Arial"/>
      <family val="2"/>
    </font>
    <font>
      <b/>
      <sz val="10"/>
      <color theme="1"/>
      <name val="Calibri"/>
      <family val="2"/>
      <scheme val="minor"/>
    </font>
    <font>
      <vertAlign val="superscript"/>
      <sz val="10"/>
      <color theme="1"/>
      <name val="Calibri"/>
      <family val="2"/>
    </font>
    <font>
      <vertAlign val="superscript"/>
      <sz val="10"/>
      <color theme="1"/>
      <name val="Calibri"/>
      <family val="2"/>
      <scheme val="minor"/>
    </font>
    <font>
      <sz val="10"/>
      <color rgb="FF0000FF"/>
      <name val="Calibri"/>
      <family val="2"/>
      <scheme val="minor"/>
    </font>
    <font>
      <b/>
      <u/>
      <sz val="10"/>
      <color theme="1"/>
      <name val="Calibri"/>
      <family val="2"/>
      <scheme val="minor"/>
    </font>
    <font>
      <sz val="10"/>
      <color rgb="FF000000"/>
      <name val="Calibri"/>
      <family val="2"/>
      <scheme val="minor"/>
    </font>
    <font>
      <u/>
      <sz val="10"/>
      <color theme="1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9" tint="0.79998168889431442"/>
        <bgColor indexed="64"/>
      </patternFill>
    </fill>
  </fills>
  <borders count="29">
    <border>
      <left/>
      <right/>
      <top/>
      <bottom/>
      <diagonal/>
    </border>
    <border>
      <left style="medium">
        <color theme="3"/>
      </left>
      <right/>
      <top style="medium">
        <color theme="3"/>
      </top>
      <bottom/>
      <diagonal/>
    </border>
    <border>
      <left/>
      <right style="medium">
        <color theme="3"/>
      </right>
      <top style="medium">
        <color theme="3"/>
      </top>
      <bottom/>
      <diagonal/>
    </border>
    <border>
      <left style="medium">
        <color theme="3"/>
      </left>
      <right/>
      <top/>
      <bottom/>
      <diagonal/>
    </border>
    <border>
      <left/>
      <right style="medium">
        <color theme="3"/>
      </right>
      <top/>
      <bottom/>
      <diagonal/>
    </border>
    <border>
      <left style="medium">
        <color theme="3"/>
      </left>
      <right/>
      <top/>
      <bottom style="medium">
        <color theme="3"/>
      </bottom>
      <diagonal/>
    </border>
    <border>
      <left/>
      <right style="medium">
        <color theme="3"/>
      </right>
      <top/>
      <bottom style="medium">
        <color theme="3"/>
      </bottom>
      <diagonal/>
    </border>
    <border>
      <left/>
      <right/>
      <top style="medium">
        <color theme="3"/>
      </top>
      <bottom/>
      <diagonal/>
    </border>
    <border>
      <left/>
      <right/>
      <top/>
      <bottom style="medium">
        <color theme="3"/>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thin">
        <color indexed="64"/>
      </top>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medium">
        <color theme="3"/>
      </right>
      <top style="medium">
        <color indexed="64"/>
      </top>
      <bottom/>
      <diagonal/>
    </border>
    <border>
      <left style="medium">
        <color theme="3"/>
      </left>
      <right/>
      <top style="medium">
        <color indexed="64"/>
      </top>
      <bottom/>
      <diagonal/>
    </border>
    <border>
      <left/>
      <right style="medium">
        <color theme="3"/>
      </right>
      <top/>
      <bottom style="medium">
        <color indexed="64"/>
      </bottom>
      <diagonal/>
    </border>
    <border>
      <left style="medium">
        <color theme="3"/>
      </left>
      <right/>
      <top/>
      <bottom style="medium">
        <color indexed="64"/>
      </bottom>
      <diagonal/>
    </border>
  </borders>
  <cellStyleXfs count="5">
    <xf numFmtId="0" fontId="0" fillId="0" borderId="0"/>
    <xf numFmtId="9" fontId="1" fillId="0" borderId="0" applyFont="0" applyFill="0" applyBorder="0" applyAlignment="0" applyProtection="0"/>
    <xf numFmtId="0" fontId="4" fillId="0" borderId="0"/>
    <xf numFmtId="0" fontId="4" fillId="0" borderId="0"/>
    <xf numFmtId="0" fontId="11" fillId="0" borderId="0" applyNumberFormat="0" applyFill="0" applyBorder="0" applyAlignment="0" applyProtection="0"/>
  </cellStyleXfs>
  <cellXfs count="233">
    <xf numFmtId="0" fontId="0" fillId="0" borderId="0" xfId="0"/>
    <xf numFmtId="0" fontId="0" fillId="2" borderId="0" xfId="0" applyFill="1"/>
    <xf numFmtId="164" fontId="0" fillId="2" borderId="0" xfId="0" applyNumberFormat="1" applyFill="1"/>
    <xf numFmtId="0" fontId="0" fillId="2" borderId="1" xfId="0" applyFill="1" applyBorder="1"/>
    <xf numFmtId="0" fontId="0" fillId="2" borderId="3" xfId="0" applyFill="1" applyBorder="1"/>
    <xf numFmtId="0" fontId="0" fillId="2" borderId="4" xfId="0" applyFill="1" applyBorder="1"/>
    <xf numFmtId="0" fontId="0" fillId="2" borderId="7" xfId="0" applyFill="1" applyBorder="1"/>
    <xf numFmtId="0" fontId="0" fillId="2" borderId="7" xfId="0" applyFill="1" applyBorder="1" applyAlignment="1">
      <alignment horizontal="left"/>
    </xf>
    <xf numFmtId="0" fontId="0" fillId="2" borderId="2" xfId="0" applyFill="1" applyBorder="1"/>
    <xf numFmtId="0" fontId="0" fillId="2" borderId="6" xfId="0" applyFill="1" applyBorder="1"/>
    <xf numFmtId="0" fontId="0" fillId="2" borderId="9" xfId="0" applyFill="1" applyBorder="1"/>
    <xf numFmtId="0" fontId="0" fillId="2" borderId="11" xfId="0" applyFill="1" applyBorder="1"/>
    <xf numFmtId="0" fontId="0" fillId="2" borderId="13" xfId="0" applyFill="1" applyBorder="1"/>
    <xf numFmtId="165" fontId="0" fillId="2" borderId="0" xfId="0" applyNumberFormat="1" applyFill="1"/>
    <xf numFmtId="166" fontId="0" fillId="2" borderId="0" xfId="0" applyNumberFormat="1" applyFill="1"/>
    <xf numFmtId="9" fontId="0" fillId="2" borderId="0" xfId="1" applyFont="1" applyFill="1" applyBorder="1"/>
    <xf numFmtId="0" fontId="0" fillId="2" borderId="0" xfId="0" applyFill="1" applyAlignment="1">
      <alignment horizontal="left"/>
    </xf>
    <xf numFmtId="2" fontId="0" fillId="2" borderId="0" xfId="0" applyNumberFormat="1" applyFill="1"/>
    <xf numFmtId="2" fontId="0" fillId="2" borderId="8" xfId="0" applyNumberFormat="1" applyFill="1" applyBorder="1"/>
    <xf numFmtId="166" fontId="3" fillId="2" borderId="8" xfId="0" applyNumberFormat="1" applyFont="1" applyFill="1" applyBorder="1"/>
    <xf numFmtId="166" fontId="2" fillId="2" borderId="8" xfId="0" applyNumberFormat="1" applyFont="1" applyFill="1" applyBorder="1"/>
    <xf numFmtId="166" fontId="0" fillId="2" borderId="8" xfId="0" applyNumberFormat="1" applyFill="1" applyBorder="1"/>
    <xf numFmtId="2" fontId="0" fillId="2" borderId="5" xfId="0" applyNumberFormat="1" applyFill="1" applyBorder="1" applyAlignment="1">
      <alignment horizontal="right"/>
    </xf>
    <xf numFmtId="10" fontId="0" fillId="2" borderId="0" xfId="1" applyNumberFormat="1" applyFont="1" applyFill="1"/>
    <xf numFmtId="10" fontId="3" fillId="2" borderId="4" xfId="0" applyNumberFormat="1" applyFont="1" applyFill="1" applyBorder="1"/>
    <xf numFmtId="166" fontId="3" fillId="2" borderId="4" xfId="0" applyNumberFormat="1" applyFont="1" applyFill="1" applyBorder="1"/>
    <xf numFmtId="2" fontId="3" fillId="2" borderId="4" xfId="0" applyNumberFormat="1" applyFont="1" applyFill="1" applyBorder="1"/>
    <xf numFmtId="10" fontId="3" fillId="2" borderId="0" xfId="0" applyNumberFormat="1" applyFont="1" applyFill="1"/>
    <xf numFmtId="10" fontId="3" fillId="2" borderId="15" xfId="0" applyNumberFormat="1" applyFont="1" applyFill="1" applyBorder="1"/>
    <xf numFmtId="0" fontId="3" fillId="2" borderId="7" xfId="0" applyFont="1" applyFill="1" applyBorder="1"/>
    <xf numFmtId="0" fontId="3" fillId="2" borderId="0" xfId="0" applyFont="1" applyFill="1"/>
    <xf numFmtId="2" fontId="3" fillId="2" borderId="0" xfId="0" applyNumberFormat="1" applyFont="1" applyFill="1"/>
    <xf numFmtId="0" fontId="3" fillId="2" borderId="15" xfId="0" applyFont="1" applyFill="1" applyBorder="1"/>
    <xf numFmtId="0" fontId="3" fillId="2" borderId="17" xfId="0" applyFont="1" applyFill="1" applyBorder="1"/>
    <xf numFmtId="165" fontId="3" fillId="2" borderId="0" xfId="0" applyNumberFormat="1" applyFont="1" applyFill="1"/>
    <xf numFmtId="165" fontId="3" fillId="2" borderId="17" xfId="0" applyNumberFormat="1" applyFont="1" applyFill="1" applyBorder="1"/>
    <xf numFmtId="4" fontId="3" fillId="2" borderId="4" xfId="0" applyNumberFormat="1" applyFont="1" applyFill="1" applyBorder="1"/>
    <xf numFmtId="4" fontId="0" fillId="2" borderId="10" xfId="0" applyNumberFormat="1" applyFill="1" applyBorder="1"/>
    <xf numFmtId="4" fontId="0" fillId="2" borderId="12" xfId="0" applyNumberFormat="1" applyFill="1" applyBorder="1"/>
    <xf numFmtId="4" fontId="0" fillId="2" borderId="14" xfId="0" applyNumberFormat="1" applyFill="1" applyBorder="1"/>
    <xf numFmtId="4" fontId="0" fillId="5" borderId="0" xfId="0" applyNumberFormat="1" applyFill="1"/>
    <xf numFmtId="4" fontId="0" fillId="3" borderId="0" xfId="0" applyNumberFormat="1" applyFill="1"/>
    <xf numFmtId="4" fontId="0" fillId="6" borderId="0" xfId="0" applyNumberFormat="1" applyFill="1"/>
    <xf numFmtId="2" fontId="0" fillId="2" borderId="10" xfId="0" applyNumberFormat="1" applyFill="1" applyBorder="1"/>
    <xf numFmtId="2" fontId="0" fillId="2" borderId="12" xfId="0" applyNumberFormat="1" applyFill="1" applyBorder="1"/>
    <xf numFmtId="2" fontId="0" fillId="2" borderId="14" xfId="0" applyNumberFormat="1" applyFill="1" applyBorder="1"/>
    <xf numFmtId="2" fontId="3" fillId="2" borderId="2" xfId="0" applyNumberFormat="1" applyFont="1" applyFill="1" applyBorder="1"/>
    <xf numFmtId="2" fontId="0" fillId="3" borderId="0" xfId="0" applyNumberFormat="1" applyFill="1"/>
    <xf numFmtId="2" fontId="0" fillId="5" borderId="0" xfId="0" applyNumberFormat="1" applyFill="1"/>
    <xf numFmtId="2" fontId="0" fillId="6" borderId="0" xfId="0" applyNumberFormat="1" applyFill="1"/>
    <xf numFmtId="4" fontId="3" fillId="2" borderId="7" xfId="0" applyNumberFormat="1" applyFont="1" applyFill="1" applyBorder="1"/>
    <xf numFmtId="4" fontId="3" fillId="2" borderId="2" xfId="0" applyNumberFormat="1" applyFont="1" applyFill="1" applyBorder="1"/>
    <xf numFmtId="4" fontId="3" fillId="2" borderId="0" xfId="0" applyNumberFormat="1" applyFont="1" applyFill="1"/>
    <xf numFmtId="4" fontId="3" fillId="2" borderId="15" xfId="0" applyNumberFormat="1" applyFont="1" applyFill="1" applyBorder="1"/>
    <xf numFmtId="4" fontId="3" fillId="2" borderId="17" xfId="0" applyNumberFormat="1" applyFont="1" applyFill="1" applyBorder="1"/>
    <xf numFmtId="10" fontId="2" fillId="2" borderId="0" xfId="0" applyNumberFormat="1" applyFont="1" applyFill="1"/>
    <xf numFmtId="167" fontId="2" fillId="2" borderId="0" xfId="0" applyNumberFormat="1" applyFont="1" applyFill="1"/>
    <xf numFmtId="2" fontId="2" fillId="2" borderId="0" xfId="0" applyNumberFormat="1" applyFont="1" applyFill="1"/>
    <xf numFmtId="4" fontId="0" fillId="2" borderId="0" xfId="0" applyNumberFormat="1" applyFill="1"/>
    <xf numFmtId="0" fontId="0" fillId="2" borderId="15" xfId="0" applyFill="1" applyBorder="1"/>
    <xf numFmtId="0" fontId="0" fillId="2" borderId="15" xfId="0" applyFill="1" applyBorder="1" applyAlignment="1">
      <alignment horizontal="left"/>
    </xf>
    <xf numFmtId="0" fontId="0" fillId="2" borderId="10" xfId="0" applyFill="1" applyBorder="1"/>
    <xf numFmtId="0" fontId="0" fillId="2" borderId="12" xfId="0" applyFill="1" applyBorder="1"/>
    <xf numFmtId="2" fontId="0" fillId="2" borderId="13" xfId="0" applyNumberFormat="1" applyFill="1" applyBorder="1" applyAlignment="1">
      <alignment horizontal="right"/>
    </xf>
    <xf numFmtId="2" fontId="0" fillId="2" borderId="17" xfId="0" applyNumberFormat="1" applyFill="1" applyBorder="1"/>
    <xf numFmtId="166" fontId="3" fillId="2" borderId="17" xfId="0" applyNumberFormat="1" applyFont="1" applyFill="1" applyBorder="1"/>
    <xf numFmtId="166" fontId="2" fillId="2" borderId="17" xfId="0" applyNumberFormat="1" applyFont="1" applyFill="1" applyBorder="1"/>
    <xf numFmtId="166" fontId="0" fillId="2" borderId="17" xfId="0" applyNumberFormat="1" applyFill="1" applyBorder="1"/>
    <xf numFmtId="0" fontId="0" fillId="2" borderId="14" xfId="0" applyFill="1" applyBorder="1"/>
    <xf numFmtId="176" fontId="0" fillId="4" borderId="0" xfId="1" applyNumberFormat="1" applyFont="1" applyFill="1" applyBorder="1"/>
    <xf numFmtId="0" fontId="0" fillId="2" borderId="0" xfId="0" applyFill="1" applyAlignment="1">
      <alignment vertical="center"/>
    </xf>
    <xf numFmtId="0" fontId="5" fillId="2" borderId="0" xfId="0" applyFont="1" applyFill="1" applyAlignment="1">
      <alignment vertical="center"/>
    </xf>
    <xf numFmtId="0" fontId="5" fillId="2" borderId="0" xfId="0" applyFont="1" applyFill="1" applyAlignment="1">
      <alignment horizontal="right" vertical="center"/>
    </xf>
    <xf numFmtId="0" fontId="5" fillId="2" borderId="0" xfId="0" applyFont="1" applyFill="1" applyAlignment="1">
      <alignment horizontal="left" vertical="center"/>
    </xf>
    <xf numFmtId="4" fontId="0" fillId="2" borderId="0" xfId="0" applyNumberFormat="1" applyFill="1" applyAlignment="1">
      <alignment vertical="center"/>
    </xf>
    <xf numFmtId="0" fontId="0" fillId="2" borderId="16" xfId="0" applyFill="1" applyBorder="1" applyAlignment="1">
      <alignment vertical="center"/>
    </xf>
    <xf numFmtId="10" fontId="0" fillId="2" borderId="16" xfId="0" applyNumberFormat="1" applyFill="1" applyBorder="1" applyAlignment="1">
      <alignment vertical="center"/>
    </xf>
    <xf numFmtId="2" fontId="0" fillId="2" borderId="16" xfId="0" applyNumberFormat="1" applyFill="1" applyBorder="1" applyAlignment="1">
      <alignment horizontal="right" vertical="center"/>
    </xf>
    <xf numFmtId="10" fontId="0" fillId="2" borderId="0" xfId="1" applyNumberFormat="1" applyFont="1" applyFill="1" applyAlignment="1">
      <alignment vertical="center"/>
    </xf>
    <xf numFmtId="10" fontId="0" fillId="2" borderId="16" xfId="1" applyNumberFormat="1" applyFont="1" applyFill="1" applyBorder="1" applyAlignment="1">
      <alignment vertical="center"/>
    </xf>
    <xf numFmtId="0" fontId="5" fillId="2" borderId="22" xfId="0" applyFont="1" applyFill="1" applyBorder="1" applyAlignment="1">
      <alignment vertical="center"/>
    </xf>
    <xf numFmtId="2" fontId="5" fillId="2" borderId="0" xfId="0" applyNumberFormat="1" applyFont="1" applyFill="1" applyAlignment="1">
      <alignment vertical="center"/>
    </xf>
    <xf numFmtId="2" fontId="5" fillId="2" borderId="22" xfId="0" applyNumberFormat="1" applyFont="1" applyFill="1" applyBorder="1" applyAlignment="1">
      <alignment vertical="center"/>
    </xf>
    <xf numFmtId="0" fontId="0" fillId="2" borderId="0" xfId="0" applyFill="1" applyAlignment="1">
      <alignment horizontal="right" vertical="center"/>
    </xf>
    <xf numFmtId="0" fontId="0" fillId="2" borderId="22" xfId="0" applyFill="1" applyBorder="1" applyAlignment="1">
      <alignment horizontal="right" vertical="center"/>
    </xf>
    <xf numFmtId="0" fontId="0" fillId="2" borderId="0" xfId="0" quotePrefix="1" applyFill="1" applyAlignment="1">
      <alignment horizontal="right" vertical="center"/>
    </xf>
    <xf numFmtId="0" fontId="0" fillId="2" borderId="22" xfId="0" quotePrefix="1" applyFill="1" applyBorder="1" applyAlignment="1">
      <alignment horizontal="right" vertical="center"/>
    </xf>
    <xf numFmtId="2" fontId="5" fillId="2" borderId="0" xfId="0" applyNumberFormat="1" applyFont="1" applyFill="1" applyAlignment="1">
      <alignment horizontal="right" vertical="center"/>
    </xf>
    <xf numFmtId="2" fontId="5" fillId="2" borderId="22" xfId="0" applyNumberFormat="1" applyFont="1" applyFill="1" applyBorder="1" applyAlignment="1">
      <alignment horizontal="right" vertical="center"/>
    </xf>
    <xf numFmtId="2" fontId="0" fillId="2" borderId="0" xfId="0" applyNumberFormat="1" applyFill="1" applyAlignment="1">
      <alignment horizontal="right" vertical="center"/>
    </xf>
    <xf numFmtId="2" fontId="0" fillId="2" borderId="22" xfId="0" applyNumberFormat="1" applyFill="1" applyBorder="1" applyAlignment="1">
      <alignment horizontal="right" vertical="center"/>
    </xf>
    <xf numFmtId="10" fontId="0" fillId="2" borderId="0" xfId="0" applyNumberFormat="1" applyFill="1" applyAlignment="1">
      <alignment vertical="center"/>
    </xf>
    <xf numFmtId="10" fontId="0" fillId="2" borderId="22" xfId="0" applyNumberFormat="1" applyFill="1" applyBorder="1" applyAlignment="1">
      <alignment vertical="center"/>
    </xf>
    <xf numFmtId="10" fontId="0" fillId="2" borderId="23" xfId="0" applyNumberFormat="1" applyFill="1" applyBorder="1" applyAlignment="1">
      <alignment vertical="center"/>
    </xf>
    <xf numFmtId="0" fontId="0" fillId="2" borderId="22" xfId="0" applyFill="1" applyBorder="1" applyAlignment="1">
      <alignment vertical="center"/>
    </xf>
    <xf numFmtId="4" fontId="0" fillId="2" borderId="0" xfId="0" applyNumberFormat="1" applyFill="1" applyAlignment="1">
      <alignment horizontal="right" vertical="center"/>
    </xf>
    <xf numFmtId="4" fontId="0" fillId="2" borderId="22" xfId="0" applyNumberFormat="1" applyFill="1" applyBorder="1" applyAlignment="1">
      <alignment horizontal="right" vertical="center"/>
    </xf>
    <xf numFmtId="4" fontId="0" fillId="2" borderId="23" xfId="0" applyNumberFormat="1" applyFill="1" applyBorder="1" applyAlignment="1">
      <alignment horizontal="right" vertical="center"/>
    </xf>
    <xf numFmtId="10" fontId="0" fillId="2" borderId="0" xfId="1" applyNumberFormat="1" applyFont="1" applyFill="1" applyBorder="1" applyAlignment="1">
      <alignment vertical="center"/>
    </xf>
    <xf numFmtId="10" fontId="0" fillId="2" borderId="22" xfId="1" applyNumberFormat="1" applyFont="1" applyFill="1" applyBorder="1" applyAlignment="1">
      <alignment vertical="center"/>
    </xf>
    <xf numFmtId="10" fontId="0" fillId="2" borderId="23" xfId="1" applyNumberFormat="1" applyFont="1" applyFill="1" applyBorder="1" applyAlignment="1">
      <alignment vertical="center"/>
    </xf>
    <xf numFmtId="0" fontId="0" fillId="2" borderId="0" xfId="0" applyFill="1" applyAlignment="1">
      <alignment horizontal="center" vertical="center" wrapText="1"/>
    </xf>
    <xf numFmtId="0" fontId="0" fillId="2" borderId="18" xfId="0" applyFill="1" applyBorder="1" applyAlignment="1">
      <alignment vertical="center"/>
    </xf>
    <xf numFmtId="0" fontId="2" fillId="2" borderId="18" xfId="0" applyFont="1" applyFill="1" applyBorder="1" applyAlignment="1">
      <alignment vertical="center"/>
    </xf>
    <xf numFmtId="0" fontId="2" fillId="2" borderId="21" xfId="0" applyFont="1" applyFill="1" applyBorder="1" applyAlignment="1">
      <alignment vertical="center"/>
    </xf>
    <xf numFmtId="0" fontId="2" fillId="2" borderId="0" xfId="0" applyFont="1" applyFill="1" applyAlignment="1">
      <alignment vertical="center"/>
    </xf>
    <xf numFmtId="0" fontId="2" fillId="2" borderId="22" xfId="0" applyFont="1" applyFill="1" applyBorder="1" applyAlignment="1">
      <alignment vertical="center"/>
    </xf>
    <xf numFmtId="170" fontId="2" fillId="2" borderId="0" xfId="0" applyNumberFormat="1" applyFont="1" applyFill="1" applyAlignment="1">
      <alignment vertical="center"/>
    </xf>
    <xf numFmtId="170" fontId="0" fillId="2" borderId="0" xfId="0" applyNumberFormat="1" applyFill="1" applyAlignment="1">
      <alignment vertical="center"/>
    </xf>
    <xf numFmtId="170" fontId="0" fillId="2" borderId="22" xfId="0" applyNumberFormat="1" applyFill="1" applyBorder="1" applyAlignment="1">
      <alignment vertical="center"/>
    </xf>
    <xf numFmtId="168" fontId="2" fillId="2" borderId="0" xfId="0" applyNumberFormat="1" applyFont="1" applyFill="1" applyAlignment="1">
      <alignment vertical="center"/>
    </xf>
    <xf numFmtId="169" fontId="0" fillId="2" borderId="0" xfId="0" applyNumberFormat="1" applyFill="1" applyAlignment="1">
      <alignment vertical="center"/>
    </xf>
    <xf numFmtId="169" fontId="0" fillId="2" borderId="22" xfId="0" applyNumberFormat="1" applyFill="1" applyBorder="1" applyAlignment="1">
      <alignment vertical="center"/>
    </xf>
    <xf numFmtId="169" fontId="0" fillId="2" borderId="16" xfId="0" applyNumberFormat="1" applyFill="1" applyBorder="1" applyAlignment="1">
      <alignment vertical="center"/>
    </xf>
    <xf numFmtId="169" fontId="0" fillId="2" borderId="23" xfId="0" applyNumberFormat="1" applyFill="1" applyBorder="1" applyAlignment="1">
      <alignment vertical="center"/>
    </xf>
    <xf numFmtId="169" fontId="2" fillId="2" borderId="0" xfId="0" applyNumberFormat="1" applyFont="1" applyFill="1" applyAlignment="1">
      <alignment vertical="center"/>
    </xf>
    <xf numFmtId="169" fontId="2" fillId="2" borderId="22" xfId="0" applyNumberFormat="1" applyFont="1" applyFill="1" applyBorder="1" applyAlignment="1">
      <alignment vertical="center"/>
    </xf>
    <xf numFmtId="169" fontId="2" fillId="2" borderId="16" xfId="0" applyNumberFormat="1" applyFont="1" applyFill="1" applyBorder="1" applyAlignment="1">
      <alignment vertical="center"/>
    </xf>
    <xf numFmtId="169" fontId="2" fillId="2" borderId="23" xfId="0" applyNumberFormat="1" applyFont="1" applyFill="1" applyBorder="1" applyAlignment="1">
      <alignment vertical="center"/>
    </xf>
    <xf numFmtId="169" fontId="0" fillId="2" borderId="19" xfId="0" applyNumberFormat="1" applyFill="1" applyBorder="1" applyAlignment="1">
      <alignment vertical="center"/>
    </xf>
    <xf numFmtId="169" fontId="0" fillId="2" borderId="20" xfId="0" applyNumberFormat="1" applyFill="1" applyBorder="1" applyAlignment="1">
      <alignment vertical="center"/>
    </xf>
    <xf numFmtId="172" fontId="0" fillId="2" borderId="0" xfId="0" applyNumberFormat="1" applyFill="1" applyAlignment="1">
      <alignment vertical="center"/>
    </xf>
    <xf numFmtId="171" fontId="0" fillId="2" borderId="0" xfId="0" applyNumberFormat="1" applyFill="1" applyAlignment="1">
      <alignment vertical="center"/>
    </xf>
    <xf numFmtId="9" fontId="2" fillId="2" borderId="0" xfId="0" applyNumberFormat="1" applyFont="1" applyFill="1" applyAlignment="1">
      <alignment vertical="center"/>
    </xf>
    <xf numFmtId="173" fontId="0" fillId="2" borderId="0" xfId="0" applyNumberFormat="1" applyFill="1" applyAlignment="1">
      <alignment vertical="center"/>
    </xf>
    <xf numFmtId="174" fontId="0" fillId="2" borderId="0" xfId="0" applyNumberFormat="1" applyFill="1" applyAlignment="1">
      <alignment vertical="center"/>
    </xf>
    <xf numFmtId="175" fontId="0" fillId="2" borderId="16" xfId="0" applyNumberFormat="1" applyFill="1" applyBorder="1" applyAlignment="1">
      <alignment vertical="center"/>
    </xf>
    <xf numFmtId="0" fontId="0" fillId="2" borderId="18" xfId="0" applyFill="1" applyBorder="1" applyAlignment="1">
      <alignment horizontal="right" vertical="center"/>
    </xf>
    <xf numFmtId="10" fontId="0" fillId="4" borderId="0" xfId="1" applyNumberFormat="1" applyFont="1" applyFill="1" applyBorder="1"/>
    <xf numFmtId="2" fontId="0" fillId="2" borderId="0" xfId="1" applyNumberFormat="1" applyFont="1" applyFill="1"/>
    <xf numFmtId="177" fontId="0" fillId="0" borderId="18" xfId="0" applyNumberFormat="1" applyBorder="1" applyAlignment="1">
      <alignment vertical="center"/>
    </xf>
    <xf numFmtId="0" fontId="0" fillId="0" borderId="24" xfId="0" applyBorder="1" applyAlignment="1">
      <alignment horizontal="right" vertical="center"/>
    </xf>
    <xf numFmtId="10" fontId="0" fillId="0" borderId="0" xfId="1" applyNumberFormat="1" applyFont="1" applyAlignment="1">
      <alignment vertical="center"/>
    </xf>
    <xf numFmtId="177" fontId="0" fillId="0" borderId="0" xfId="0" applyNumberFormat="1" applyAlignment="1">
      <alignment vertical="center"/>
    </xf>
    <xf numFmtId="2" fontId="0" fillId="0" borderId="0" xfId="0" applyNumberFormat="1" applyAlignment="1">
      <alignment vertical="center"/>
    </xf>
    <xf numFmtId="4" fontId="5" fillId="2" borderId="0" xfId="0" applyNumberFormat="1" applyFont="1" applyFill="1"/>
    <xf numFmtId="178" fontId="5" fillId="2" borderId="0" xfId="0" applyNumberFormat="1" applyFont="1" applyFill="1"/>
    <xf numFmtId="10" fontId="5" fillId="2" borderId="0" xfId="1" applyNumberFormat="1" applyFont="1" applyFill="1"/>
    <xf numFmtId="0" fontId="8" fillId="0" borderId="0" xfId="0" applyFont="1" applyAlignment="1">
      <alignment vertical="center"/>
    </xf>
    <xf numFmtId="179" fontId="8" fillId="0" borderId="0" xfId="0" applyNumberFormat="1" applyFont="1" applyAlignment="1">
      <alignment vertical="center"/>
    </xf>
    <xf numFmtId="3" fontId="8" fillId="0" borderId="0" xfId="0" applyNumberFormat="1" applyFont="1" applyAlignment="1">
      <alignment vertical="center"/>
    </xf>
    <xf numFmtId="180" fontId="8" fillId="0" borderId="0" xfId="0" applyNumberFormat="1" applyFont="1" applyAlignment="1">
      <alignment vertical="center"/>
    </xf>
    <xf numFmtId="3" fontId="3" fillId="0" borderId="0" xfId="0" applyNumberFormat="1" applyFont="1" applyAlignment="1">
      <alignment vertical="center"/>
    </xf>
    <xf numFmtId="168" fontId="8" fillId="0" borderId="0" xfId="0" applyNumberFormat="1" applyFont="1" applyAlignment="1">
      <alignment vertical="center"/>
    </xf>
    <xf numFmtId="0" fontId="0" fillId="2" borderId="24" xfId="0" applyFill="1" applyBorder="1" applyAlignment="1">
      <alignment horizontal="right" vertical="center"/>
    </xf>
    <xf numFmtId="164" fontId="2" fillId="2" borderId="0" xfId="0" applyNumberFormat="1" applyFont="1" applyFill="1" applyAlignment="1">
      <alignment vertical="center"/>
    </xf>
    <xf numFmtId="9" fontId="2" fillId="2" borderId="0" xfId="1" applyFont="1" applyFill="1" applyAlignment="1">
      <alignment vertical="center"/>
    </xf>
    <xf numFmtId="166" fontId="0" fillId="2" borderId="0" xfId="0" applyNumberFormat="1" applyFill="1" applyAlignment="1">
      <alignment vertical="center"/>
    </xf>
    <xf numFmtId="181" fontId="0" fillId="2" borderId="0" xfId="0" applyNumberFormat="1" applyFill="1" applyAlignment="1">
      <alignment horizontal="right"/>
    </xf>
    <xf numFmtId="2" fontId="0" fillId="2" borderId="0" xfId="0" applyNumberFormat="1" applyFill="1" applyAlignment="1">
      <alignment horizontal="right"/>
    </xf>
    <xf numFmtId="181" fontId="0" fillId="2" borderId="0" xfId="0" applyNumberFormat="1" applyFill="1"/>
    <xf numFmtId="4" fontId="0" fillId="2" borderId="0" xfId="0" applyNumberFormat="1" applyFill="1" applyAlignment="1">
      <alignment horizontal="right"/>
    </xf>
    <xf numFmtId="0" fontId="5" fillId="2" borderId="0" xfId="0" applyFont="1" applyFill="1"/>
    <xf numFmtId="0" fontId="9" fillId="2" borderId="0" xfId="0" applyFont="1" applyFill="1"/>
    <xf numFmtId="0" fontId="5" fillId="0" borderId="0" xfId="0" applyFont="1"/>
    <xf numFmtId="2" fontId="0" fillId="2" borderId="0" xfId="0" applyNumberFormat="1" applyFill="1" applyAlignment="1">
      <alignment vertical="center"/>
    </xf>
    <xf numFmtId="1" fontId="0" fillId="0" borderId="0" xfId="0" applyNumberFormat="1"/>
    <xf numFmtId="165" fontId="0" fillId="0" borderId="0" xfId="0" applyNumberFormat="1"/>
    <xf numFmtId="2" fontId="2" fillId="2" borderId="0" xfId="1" applyNumberFormat="1" applyFont="1" applyFill="1" applyAlignment="1">
      <alignment vertical="center"/>
    </xf>
    <xf numFmtId="164" fontId="0" fillId="2" borderId="0" xfId="0" applyNumberFormat="1" applyFill="1" applyAlignment="1">
      <alignment vertical="center"/>
    </xf>
    <xf numFmtId="9" fontId="0" fillId="2" borderId="0" xfId="0" applyNumberFormat="1" applyFill="1"/>
    <xf numFmtId="0" fontId="0" fillId="0" borderId="0" xfId="0" applyAlignment="1">
      <alignment vertical="center"/>
    </xf>
    <xf numFmtId="0" fontId="2" fillId="0" borderId="0" xfId="0" applyFont="1" applyAlignment="1">
      <alignment vertical="center"/>
    </xf>
    <xf numFmtId="15" fontId="2" fillId="0" borderId="0" xfId="0" applyNumberFormat="1" applyFont="1" applyAlignment="1">
      <alignment vertical="center"/>
    </xf>
    <xf numFmtId="0" fontId="0" fillId="0" borderId="0" xfId="0" applyAlignment="1">
      <alignment horizontal="left" vertical="center"/>
    </xf>
    <xf numFmtId="0" fontId="10" fillId="0" borderId="0" xfId="0" applyFont="1" applyAlignment="1">
      <alignment horizontal="center" vertical="center"/>
    </xf>
    <xf numFmtId="0" fontId="5" fillId="0" borderId="0" xfId="0" applyFont="1" applyAlignment="1">
      <alignment vertical="center"/>
    </xf>
    <xf numFmtId="0" fontId="10" fillId="0" borderId="0" xfId="0" applyFont="1" applyAlignment="1">
      <alignment horizontal="center" vertical="center" wrapText="1"/>
    </xf>
    <xf numFmtId="2" fontId="2" fillId="0" borderId="0" xfId="0" applyNumberFormat="1" applyFont="1" applyAlignment="1">
      <alignment vertical="center"/>
    </xf>
    <xf numFmtId="2" fontId="2" fillId="0" borderId="0" xfId="0" applyNumberFormat="1" applyFont="1" applyAlignment="1">
      <alignment horizontal="right" vertical="center"/>
    </xf>
    <xf numFmtId="10" fontId="2" fillId="0" borderId="0" xfId="0" applyNumberFormat="1" applyFont="1" applyAlignment="1">
      <alignment horizontal="right" vertical="center"/>
    </xf>
    <xf numFmtId="0" fontId="2" fillId="0" borderId="0" xfId="0" applyFont="1" applyAlignment="1">
      <alignment horizontal="right" vertical="center"/>
    </xf>
    <xf numFmtId="4" fontId="2" fillId="0" borderId="0" xfId="0" applyNumberFormat="1" applyFont="1" applyAlignment="1">
      <alignment vertical="center"/>
    </xf>
    <xf numFmtId="0" fontId="5" fillId="0" borderId="0" xfId="0" applyFont="1" applyAlignment="1">
      <alignment horizontal="center" vertical="center" wrapText="1"/>
    </xf>
    <xf numFmtId="4" fontId="0" fillId="0" borderId="0" xfId="0" applyNumberFormat="1" applyAlignment="1">
      <alignment vertical="center"/>
    </xf>
    <xf numFmtId="0" fontId="2" fillId="2" borderId="0" xfId="0" applyFont="1" applyFill="1"/>
    <xf numFmtId="164" fontId="2" fillId="2" borderId="0" xfId="0" applyNumberFormat="1" applyFont="1" applyFill="1"/>
    <xf numFmtId="0" fontId="0" fillId="0" borderId="0" xfId="0" applyAlignment="1">
      <alignment horizontal="right" vertical="center"/>
    </xf>
    <xf numFmtId="0" fontId="3" fillId="0" borderId="0" xfId="0" applyFont="1" applyAlignment="1">
      <alignment vertical="center"/>
    </xf>
    <xf numFmtId="9" fontId="2" fillId="0" borderId="0" xfId="0" applyNumberFormat="1" applyFont="1" applyAlignment="1">
      <alignment vertical="center"/>
    </xf>
    <xf numFmtId="1" fontId="0" fillId="0" borderId="0" xfId="0" applyNumberFormat="1" applyAlignment="1">
      <alignment vertical="center"/>
    </xf>
    <xf numFmtId="0" fontId="0" fillId="0" borderId="24" xfId="0" applyBorder="1" applyAlignment="1">
      <alignment vertical="center"/>
    </xf>
    <xf numFmtId="0" fontId="0" fillId="0" borderId="18" xfId="0" applyBorder="1" applyAlignment="1">
      <alignment vertical="center"/>
    </xf>
    <xf numFmtId="182" fontId="0" fillId="2" borderId="0" xfId="0" applyNumberFormat="1" applyFill="1"/>
    <xf numFmtId="182" fontId="0" fillId="2" borderId="16" xfId="0" applyNumberFormat="1" applyFill="1" applyBorder="1"/>
    <xf numFmtId="4" fontId="2" fillId="2" borderId="0" xfId="0" applyNumberFormat="1" applyFont="1" applyFill="1"/>
    <xf numFmtId="165" fontId="2" fillId="2" borderId="0" xfId="0" applyNumberFormat="1" applyFont="1" applyFill="1"/>
    <xf numFmtId="4" fontId="0" fillId="2" borderId="16" xfId="0" applyNumberFormat="1" applyFill="1" applyBorder="1"/>
    <xf numFmtId="179" fontId="0" fillId="0" borderId="0" xfId="0" applyNumberFormat="1" applyAlignment="1">
      <alignment vertical="center"/>
    </xf>
    <xf numFmtId="179" fontId="5" fillId="0" borderId="0" xfId="0" applyNumberFormat="1" applyFont="1" applyAlignment="1">
      <alignment vertical="center"/>
    </xf>
    <xf numFmtId="3" fontId="0" fillId="0" borderId="0" xfId="0" applyNumberFormat="1" applyAlignment="1">
      <alignment vertical="center"/>
    </xf>
    <xf numFmtId="165" fontId="0" fillId="2" borderId="0" xfId="1" applyNumberFormat="1" applyFont="1" applyFill="1"/>
    <xf numFmtId="0" fontId="11" fillId="2" borderId="0" xfId="4" applyFill="1" applyAlignment="1">
      <alignment vertical="center"/>
    </xf>
    <xf numFmtId="0" fontId="11" fillId="2" borderId="0" xfId="4" applyFill="1"/>
    <xf numFmtId="164" fontId="3" fillId="2" borderId="7" xfId="0" applyNumberFormat="1" applyFont="1" applyFill="1" applyBorder="1"/>
    <xf numFmtId="164" fontId="3" fillId="2" borderId="2" xfId="0" applyNumberFormat="1" applyFont="1" applyFill="1" applyBorder="1"/>
    <xf numFmtId="164" fontId="3" fillId="2" borderId="1" xfId="0" applyNumberFormat="1" applyFont="1" applyFill="1" applyBorder="1"/>
    <xf numFmtId="164" fontId="2" fillId="2" borderId="4" xfId="0" applyNumberFormat="1" applyFont="1" applyFill="1" applyBorder="1"/>
    <xf numFmtId="164" fontId="2" fillId="2" borderId="3" xfId="0" applyNumberFormat="1" applyFont="1" applyFill="1" applyBorder="1"/>
    <xf numFmtId="10" fontId="3" fillId="2" borderId="3" xfId="0" applyNumberFormat="1" applyFont="1" applyFill="1" applyBorder="1"/>
    <xf numFmtId="2" fontId="3" fillId="2" borderId="3" xfId="0" applyNumberFormat="1" applyFont="1" applyFill="1" applyBorder="1"/>
    <xf numFmtId="164" fontId="3" fillId="2" borderId="15" xfId="0" applyNumberFormat="1" applyFont="1" applyFill="1" applyBorder="1"/>
    <xf numFmtId="164" fontId="3" fillId="2" borderId="25" xfId="0" applyNumberFormat="1" applyFont="1" applyFill="1" applyBorder="1"/>
    <xf numFmtId="164" fontId="3" fillId="2" borderId="26" xfId="0" applyNumberFormat="1" applyFont="1" applyFill="1" applyBorder="1"/>
    <xf numFmtId="164" fontId="3" fillId="2" borderId="0" xfId="0" applyNumberFormat="1" applyFont="1" applyFill="1"/>
    <xf numFmtId="164" fontId="3" fillId="2" borderId="4" xfId="0" applyNumberFormat="1" applyFont="1" applyFill="1" applyBorder="1"/>
    <xf numFmtId="164" fontId="3" fillId="2" borderId="3" xfId="0" applyNumberFormat="1" applyFont="1" applyFill="1" applyBorder="1"/>
    <xf numFmtId="164" fontId="3" fillId="2" borderId="17" xfId="0" applyNumberFormat="1" applyFont="1" applyFill="1" applyBorder="1"/>
    <xf numFmtId="164" fontId="3" fillId="2" borderId="27" xfId="0" applyNumberFormat="1" applyFont="1" applyFill="1" applyBorder="1"/>
    <xf numFmtId="164" fontId="3" fillId="2" borderId="28" xfId="0" applyNumberFormat="1" applyFont="1" applyFill="1" applyBorder="1"/>
    <xf numFmtId="10" fontId="3" fillId="2" borderId="25" xfId="0" applyNumberFormat="1" applyFont="1" applyFill="1" applyBorder="1"/>
    <xf numFmtId="10" fontId="3" fillId="2" borderId="26" xfId="0" applyNumberFormat="1" applyFont="1" applyFill="1" applyBorder="1"/>
    <xf numFmtId="165" fontId="3" fillId="2" borderId="4" xfId="0" applyNumberFormat="1" applyFont="1" applyFill="1" applyBorder="1"/>
    <xf numFmtId="165" fontId="3" fillId="2" borderId="3" xfId="0" applyNumberFormat="1" applyFont="1" applyFill="1" applyBorder="1"/>
    <xf numFmtId="165" fontId="3" fillId="2" borderId="27" xfId="0" applyNumberFormat="1" applyFont="1" applyFill="1" applyBorder="1"/>
    <xf numFmtId="165" fontId="3" fillId="2" borderId="28" xfId="0" applyNumberFormat="1" applyFont="1" applyFill="1" applyBorder="1"/>
    <xf numFmtId="0" fontId="3" fillId="2" borderId="25" xfId="0" applyFont="1" applyFill="1" applyBorder="1"/>
    <xf numFmtId="0" fontId="3" fillId="2" borderId="26" xfId="0" applyFont="1" applyFill="1" applyBorder="1"/>
    <xf numFmtId="0" fontId="3" fillId="2" borderId="27" xfId="0" applyFont="1" applyFill="1" applyBorder="1"/>
    <xf numFmtId="0" fontId="0" fillId="2" borderId="18" xfId="0" applyFill="1" applyBorder="1"/>
    <xf numFmtId="182" fontId="2" fillId="2" borderId="18" xfId="0" applyNumberFormat="1" applyFont="1" applyFill="1" applyBorder="1"/>
    <xf numFmtId="182" fontId="2" fillId="2" borderId="0" xfId="0" applyNumberFormat="1" applyFont="1" applyFill="1"/>
    <xf numFmtId="0" fontId="0" fillId="2" borderId="24" xfId="0" applyFill="1" applyBorder="1" applyAlignment="1">
      <alignment horizontal="right"/>
    </xf>
    <xf numFmtId="182" fontId="0" fillId="2" borderId="24" xfId="0" applyNumberFormat="1" applyFill="1" applyBorder="1"/>
    <xf numFmtId="0" fontId="0" fillId="2" borderId="24" xfId="0" applyFill="1" applyBorder="1"/>
    <xf numFmtId="182" fontId="3" fillId="2" borderId="0" xfId="0" applyNumberFormat="1" applyFont="1" applyFill="1"/>
    <xf numFmtId="164" fontId="0" fillId="2" borderId="16" xfId="0" applyNumberFormat="1" applyFill="1" applyBorder="1"/>
    <xf numFmtId="0" fontId="0" fillId="2" borderId="16" xfId="0" applyFill="1" applyBorder="1"/>
    <xf numFmtId="0" fontId="0" fillId="2" borderId="18" xfId="0" applyFill="1" applyBorder="1" applyAlignment="1">
      <alignment horizontal="center" vertical="center"/>
    </xf>
    <xf numFmtId="0" fontId="0" fillId="2" borderId="21" xfId="0" applyFill="1" applyBorder="1" applyAlignment="1">
      <alignment horizontal="center" vertical="center"/>
    </xf>
    <xf numFmtId="0" fontId="0" fillId="2" borderId="0" xfId="0" applyFill="1" applyAlignment="1">
      <alignment horizontal="left" vertical="top"/>
    </xf>
    <xf numFmtId="0" fontId="0" fillId="2" borderId="0" xfId="0" applyFill="1" applyAlignment="1">
      <alignment horizontal="left" vertical="center"/>
    </xf>
    <xf numFmtId="164" fontId="3" fillId="2" borderId="16" xfId="0" applyNumberFormat="1" applyFont="1" applyFill="1" applyBorder="1"/>
  </cellXfs>
  <cellStyles count="5">
    <cellStyle name="Hyperlink" xfId="4" builtinId="8"/>
    <cellStyle name="Normal" xfId="0" builtinId="0"/>
    <cellStyle name="Normal 2" xfId="2" xr:uid="{EDBD4B31-BEDB-4220-AF6D-99121C32C1A9}"/>
    <cellStyle name="Normal 3" xfId="3" xr:uid="{0708BCA7-8152-4D82-9A41-3C10CE7337DD}"/>
    <cellStyle name="Percent" xfId="1" builtinId="5"/>
  </cellStyles>
  <dxfs count="0"/>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8.png"/></Relationships>
</file>

<file path=xl/drawings/_rels/drawing15.xml.rels><?xml version="1.0" encoding="UTF-8" standalone="yes"?>
<Relationships xmlns="http://schemas.openxmlformats.org/package/2006/relationships"><Relationship Id="rId1" Type="http://schemas.openxmlformats.org/officeDocument/2006/relationships/image" Target="../media/image9.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5.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6.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7.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27</xdr:row>
      <xdr:rowOff>0</xdr:rowOff>
    </xdr:from>
    <xdr:to>
      <xdr:col>12</xdr:col>
      <xdr:colOff>343525</xdr:colOff>
      <xdr:row>53</xdr:row>
      <xdr:rowOff>107084</xdr:rowOff>
    </xdr:to>
    <xdr:pic>
      <xdr:nvPicPr>
        <xdr:cNvPr id="2" name="Picture 1">
          <a:extLst>
            <a:ext uri="{FF2B5EF4-FFF2-40B4-BE49-F238E27FC236}">
              <a16:creationId xmlns:a16="http://schemas.microsoft.com/office/drawing/2014/main" id="{CC625A99-D755-BC4D-A383-612E8F9EEB08}"/>
            </a:ext>
          </a:extLst>
        </xdr:cNvPr>
        <xdr:cNvPicPr>
          <a:picLocks noChangeAspect="1"/>
        </xdr:cNvPicPr>
      </xdr:nvPicPr>
      <xdr:blipFill>
        <a:blip xmlns:r="http://schemas.openxmlformats.org/officeDocument/2006/relationships" r:embed="rId1"/>
        <a:stretch>
          <a:fillRect/>
        </a:stretch>
      </xdr:blipFill>
      <xdr:spPr>
        <a:xfrm>
          <a:off x="1691640" y="4732020"/>
          <a:ext cx="7216765" cy="4663844"/>
        </a:xfrm>
        <a:prstGeom prst="rect">
          <a:avLst/>
        </a:prstGeom>
      </xdr:spPr>
    </xdr:pic>
    <xdr:clientData/>
  </xdr:twoCellAnchor>
  <xdr:twoCellAnchor editAs="oneCell">
    <xdr:from>
      <xdr:col>16</xdr:col>
      <xdr:colOff>137160</xdr:colOff>
      <xdr:row>17</xdr:row>
      <xdr:rowOff>153224</xdr:rowOff>
    </xdr:from>
    <xdr:to>
      <xdr:col>23</xdr:col>
      <xdr:colOff>604</xdr:colOff>
      <xdr:row>32</xdr:row>
      <xdr:rowOff>122289</xdr:rowOff>
    </xdr:to>
    <xdr:pic>
      <xdr:nvPicPr>
        <xdr:cNvPr id="3" name="Picture 2">
          <a:extLst>
            <a:ext uri="{FF2B5EF4-FFF2-40B4-BE49-F238E27FC236}">
              <a16:creationId xmlns:a16="http://schemas.microsoft.com/office/drawing/2014/main" id="{566F1529-C2D8-FF12-2AB9-1964010E9E74}"/>
            </a:ext>
          </a:extLst>
        </xdr:cNvPr>
        <xdr:cNvPicPr>
          <a:picLocks noChangeAspect="1"/>
        </xdr:cNvPicPr>
      </xdr:nvPicPr>
      <xdr:blipFill>
        <a:blip xmlns:r="http://schemas.openxmlformats.org/officeDocument/2006/relationships" r:embed="rId2"/>
        <a:stretch>
          <a:fillRect/>
        </a:stretch>
      </xdr:blipFill>
      <xdr:spPr>
        <a:xfrm>
          <a:off x="11201400" y="3132644"/>
          <a:ext cx="4237324" cy="259796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14288</xdr:colOff>
      <xdr:row>5</xdr:row>
      <xdr:rowOff>42863</xdr:rowOff>
    </xdr:from>
    <xdr:to>
      <xdr:col>8</xdr:col>
      <xdr:colOff>0</xdr:colOff>
      <xdr:row>7</xdr:row>
      <xdr:rowOff>157162</xdr:rowOff>
    </xdr:to>
    <xdr:grpSp>
      <xdr:nvGrpSpPr>
        <xdr:cNvPr id="2" name="Group 1">
          <a:extLst>
            <a:ext uri="{FF2B5EF4-FFF2-40B4-BE49-F238E27FC236}">
              <a16:creationId xmlns:a16="http://schemas.microsoft.com/office/drawing/2014/main" id="{ABAE1E92-9B94-4844-B09B-3DFF2141592B}"/>
            </a:ext>
          </a:extLst>
        </xdr:cNvPr>
        <xdr:cNvGrpSpPr/>
      </xdr:nvGrpSpPr>
      <xdr:grpSpPr>
        <a:xfrm>
          <a:off x="4708208" y="804863"/>
          <a:ext cx="168592" cy="464819"/>
          <a:chOff x="6719888" y="876301"/>
          <a:chExt cx="171450" cy="447674"/>
        </a:xfrm>
      </xdr:grpSpPr>
      <xdr:cxnSp macro="">
        <xdr:nvCxnSpPr>
          <xdr:cNvPr id="3" name="Straight Arrow Connector 2">
            <a:extLst>
              <a:ext uri="{FF2B5EF4-FFF2-40B4-BE49-F238E27FC236}">
                <a16:creationId xmlns:a16="http://schemas.microsoft.com/office/drawing/2014/main" id="{38EE40E8-2EE2-1CEE-6A75-5F2339ECB681}"/>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3">
            <a:extLst>
              <a:ext uri="{FF2B5EF4-FFF2-40B4-BE49-F238E27FC236}">
                <a16:creationId xmlns:a16="http://schemas.microsoft.com/office/drawing/2014/main" id="{1AE0257D-391F-CBCA-8EB6-A1B08BB95E9F}"/>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19051</xdr:colOff>
      <xdr:row>5</xdr:row>
      <xdr:rowOff>14287</xdr:rowOff>
    </xdr:from>
    <xdr:to>
      <xdr:col>12</xdr:col>
      <xdr:colOff>14288</xdr:colOff>
      <xdr:row>7</xdr:row>
      <xdr:rowOff>128586</xdr:rowOff>
    </xdr:to>
    <xdr:grpSp>
      <xdr:nvGrpSpPr>
        <xdr:cNvPr id="5" name="Group 4">
          <a:extLst>
            <a:ext uri="{FF2B5EF4-FFF2-40B4-BE49-F238E27FC236}">
              <a16:creationId xmlns:a16="http://schemas.microsoft.com/office/drawing/2014/main" id="{FCFE2AF7-4268-42D3-AEDE-C94D9D523A66}"/>
            </a:ext>
          </a:extLst>
        </xdr:cNvPr>
        <xdr:cNvGrpSpPr/>
      </xdr:nvGrpSpPr>
      <xdr:grpSpPr>
        <a:xfrm>
          <a:off x="6473191" y="776287"/>
          <a:ext cx="178117" cy="464819"/>
          <a:chOff x="6719888" y="876301"/>
          <a:chExt cx="171450" cy="447674"/>
        </a:xfrm>
      </xdr:grpSpPr>
      <xdr:cxnSp macro="">
        <xdr:nvCxnSpPr>
          <xdr:cNvPr id="6" name="Straight Arrow Connector 5">
            <a:extLst>
              <a:ext uri="{FF2B5EF4-FFF2-40B4-BE49-F238E27FC236}">
                <a16:creationId xmlns:a16="http://schemas.microsoft.com/office/drawing/2014/main" id="{866B5793-13F8-1DB4-3B0C-A8DDE43062CF}"/>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616790AD-A39E-9F70-B6A4-CBFC3024367E}"/>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15</xdr:col>
      <xdr:colOff>9526</xdr:colOff>
      <xdr:row>5</xdr:row>
      <xdr:rowOff>57150</xdr:rowOff>
    </xdr:from>
    <xdr:to>
      <xdr:col>15</xdr:col>
      <xdr:colOff>166688</xdr:colOff>
      <xdr:row>8</xdr:row>
      <xdr:rowOff>4762</xdr:rowOff>
    </xdr:to>
    <xdr:grpSp>
      <xdr:nvGrpSpPr>
        <xdr:cNvPr id="8" name="Group 7">
          <a:extLst>
            <a:ext uri="{FF2B5EF4-FFF2-40B4-BE49-F238E27FC236}">
              <a16:creationId xmlns:a16="http://schemas.microsoft.com/office/drawing/2014/main" id="{3D1B11F7-8ED0-4984-8231-E006FE678340}"/>
            </a:ext>
          </a:extLst>
        </xdr:cNvPr>
        <xdr:cNvGrpSpPr/>
      </xdr:nvGrpSpPr>
      <xdr:grpSpPr>
        <a:xfrm>
          <a:off x="7812406" y="819150"/>
          <a:ext cx="157162" cy="481012"/>
          <a:chOff x="6719888" y="876301"/>
          <a:chExt cx="171450" cy="447674"/>
        </a:xfrm>
      </xdr:grpSpPr>
      <xdr:cxnSp macro="">
        <xdr:nvCxnSpPr>
          <xdr:cNvPr id="9" name="Straight Arrow Connector 8">
            <a:extLst>
              <a:ext uri="{FF2B5EF4-FFF2-40B4-BE49-F238E27FC236}">
                <a16:creationId xmlns:a16="http://schemas.microsoft.com/office/drawing/2014/main" id="{30539B8D-4BF7-43F9-50CA-D1F0346BF0FB}"/>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64D5E11D-D5A1-AB58-8829-279411CD8594}"/>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18</xdr:col>
      <xdr:colOff>601980</xdr:colOff>
      <xdr:row>2</xdr:row>
      <xdr:rowOff>76200</xdr:rowOff>
    </xdr:from>
    <xdr:to>
      <xdr:col>27</xdr:col>
      <xdr:colOff>431002</xdr:colOff>
      <xdr:row>12</xdr:row>
      <xdr:rowOff>76353</xdr:rowOff>
    </xdr:to>
    <xdr:pic>
      <xdr:nvPicPr>
        <xdr:cNvPr id="11" name="Picture 10">
          <a:extLst>
            <a:ext uri="{FF2B5EF4-FFF2-40B4-BE49-F238E27FC236}">
              <a16:creationId xmlns:a16="http://schemas.microsoft.com/office/drawing/2014/main" id="{4DEC95BF-114D-4916-8330-131D624B2352}"/>
            </a:ext>
          </a:extLst>
        </xdr:cNvPr>
        <xdr:cNvPicPr>
          <a:picLocks noChangeAspect="1"/>
        </xdr:cNvPicPr>
      </xdr:nvPicPr>
      <xdr:blipFill>
        <a:blip xmlns:r="http://schemas.openxmlformats.org/officeDocument/2006/relationships" r:embed="rId1"/>
        <a:stretch>
          <a:fillRect/>
        </a:stretch>
      </xdr:blipFill>
      <xdr:spPr>
        <a:xfrm>
          <a:off x="9227820" y="312420"/>
          <a:ext cx="5448772" cy="17679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14288</xdr:colOff>
      <xdr:row>5</xdr:row>
      <xdr:rowOff>42863</xdr:rowOff>
    </xdr:from>
    <xdr:to>
      <xdr:col>8</xdr:col>
      <xdr:colOff>0</xdr:colOff>
      <xdr:row>7</xdr:row>
      <xdr:rowOff>157162</xdr:rowOff>
    </xdr:to>
    <xdr:grpSp>
      <xdr:nvGrpSpPr>
        <xdr:cNvPr id="3" name="Group 2">
          <a:extLst>
            <a:ext uri="{FF2B5EF4-FFF2-40B4-BE49-F238E27FC236}">
              <a16:creationId xmlns:a16="http://schemas.microsoft.com/office/drawing/2014/main" id="{81EDF5CD-B492-4261-BC7D-2BC2FCCD2DFD}"/>
            </a:ext>
          </a:extLst>
        </xdr:cNvPr>
        <xdr:cNvGrpSpPr/>
      </xdr:nvGrpSpPr>
      <xdr:grpSpPr>
        <a:xfrm>
          <a:off x="4708208" y="804863"/>
          <a:ext cx="168592" cy="464819"/>
          <a:chOff x="6719888" y="876301"/>
          <a:chExt cx="171450" cy="447674"/>
        </a:xfrm>
      </xdr:grpSpPr>
      <xdr:cxnSp macro="">
        <xdr:nvCxnSpPr>
          <xdr:cNvPr id="4" name="Straight Arrow Connector 3">
            <a:extLst>
              <a:ext uri="{FF2B5EF4-FFF2-40B4-BE49-F238E27FC236}">
                <a16:creationId xmlns:a16="http://schemas.microsoft.com/office/drawing/2014/main" id="{C12F39E2-B54C-4344-BF2B-0CB322223F29}"/>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CEE75D77-EFD9-49E1-9D0D-A621E9AD0FED}"/>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19051</xdr:colOff>
      <xdr:row>5</xdr:row>
      <xdr:rowOff>14287</xdr:rowOff>
    </xdr:from>
    <xdr:to>
      <xdr:col>12</xdr:col>
      <xdr:colOff>14288</xdr:colOff>
      <xdr:row>7</xdr:row>
      <xdr:rowOff>128586</xdr:rowOff>
    </xdr:to>
    <xdr:grpSp>
      <xdr:nvGrpSpPr>
        <xdr:cNvPr id="6" name="Group 5">
          <a:extLst>
            <a:ext uri="{FF2B5EF4-FFF2-40B4-BE49-F238E27FC236}">
              <a16:creationId xmlns:a16="http://schemas.microsoft.com/office/drawing/2014/main" id="{56DE257A-C972-46CF-B787-4C06C7AD5E31}"/>
            </a:ext>
          </a:extLst>
        </xdr:cNvPr>
        <xdr:cNvGrpSpPr/>
      </xdr:nvGrpSpPr>
      <xdr:grpSpPr>
        <a:xfrm>
          <a:off x="6473191" y="776287"/>
          <a:ext cx="178117" cy="464819"/>
          <a:chOff x="6719888" y="876301"/>
          <a:chExt cx="171450" cy="447674"/>
        </a:xfrm>
      </xdr:grpSpPr>
      <xdr:cxnSp macro="">
        <xdr:nvCxnSpPr>
          <xdr:cNvPr id="7" name="Straight Arrow Connector 6">
            <a:extLst>
              <a:ext uri="{FF2B5EF4-FFF2-40B4-BE49-F238E27FC236}">
                <a16:creationId xmlns:a16="http://schemas.microsoft.com/office/drawing/2014/main" id="{EAA76DC6-81F8-42EC-BE42-5E33CFB0CDB2}"/>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Arrow Connector 7">
            <a:extLst>
              <a:ext uri="{FF2B5EF4-FFF2-40B4-BE49-F238E27FC236}">
                <a16:creationId xmlns:a16="http://schemas.microsoft.com/office/drawing/2014/main" id="{BBE88716-987A-42D5-961A-DE9BA146D34C}"/>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15</xdr:col>
      <xdr:colOff>9526</xdr:colOff>
      <xdr:row>5</xdr:row>
      <xdr:rowOff>57150</xdr:rowOff>
    </xdr:from>
    <xdr:to>
      <xdr:col>15</xdr:col>
      <xdr:colOff>166688</xdr:colOff>
      <xdr:row>8</xdr:row>
      <xdr:rowOff>4762</xdr:rowOff>
    </xdr:to>
    <xdr:grpSp>
      <xdr:nvGrpSpPr>
        <xdr:cNvPr id="9" name="Group 8">
          <a:extLst>
            <a:ext uri="{FF2B5EF4-FFF2-40B4-BE49-F238E27FC236}">
              <a16:creationId xmlns:a16="http://schemas.microsoft.com/office/drawing/2014/main" id="{D1676FB8-D2BA-4601-B48D-F0034EB5B950}"/>
            </a:ext>
          </a:extLst>
        </xdr:cNvPr>
        <xdr:cNvGrpSpPr/>
      </xdr:nvGrpSpPr>
      <xdr:grpSpPr>
        <a:xfrm>
          <a:off x="7812406" y="819150"/>
          <a:ext cx="157162" cy="481012"/>
          <a:chOff x="6719888" y="876301"/>
          <a:chExt cx="171450" cy="447674"/>
        </a:xfrm>
      </xdr:grpSpPr>
      <xdr:cxnSp macro="">
        <xdr:nvCxnSpPr>
          <xdr:cNvPr id="10" name="Straight Arrow Connector 9">
            <a:extLst>
              <a:ext uri="{FF2B5EF4-FFF2-40B4-BE49-F238E27FC236}">
                <a16:creationId xmlns:a16="http://schemas.microsoft.com/office/drawing/2014/main" id="{66C777FD-5477-404C-A724-A579F5B8B514}"/>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30BEC3FA-63D6-44E9-8470-8ED9F0EF3ECF}"/>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14288</xdr:colOff>
      <xdr:row>5</xdr:row>
      <xdr:rowOff>42863</xdr:rowOff>
    </xdr:from>
    <xdr:to>
      <xdr:col>8</xdr:col>
      <xdr:colOff>0</xdr:colOff>
      <xdr:row>7</xdr:row>
      <xdr:rowOff>157162</xdr:rowOff>
    </xdr:to>
    <xdr:grpSp>
      <xdr:nvGrpSpPr>
        <xdr:cNvPr id="3" name="Group 2">
          <a:extLst>
            <a:ext uri="{FF2B5EF4-FFF2-40B4-BE49-F238E27FC236}">
              <a16:creationId xmlns:a16="http://schemas.microsoft.com/office/drawing/2014/main" id="{93CB19E3-C730-4DCD-BC89-40EC6339BFBB}"/>
            </a:ext>
          </a:extLst>
        </xdr:cNvPr>
        <xdr:cNvGrpSpPr/>
      </xdr:nvGrpSpPr>
      <xdr:grpSpPr>
        <a:xfrm>
          <a:off x="4708208" y="804863"/>
          <a:ext cx="168592" cy="464819"/>
          <a:chOff x="6719888" y="876301"/>
          <a:chExt cx="171450" cy="447674"/>
        </a:xfrm>
      </xdr:grpSpPr>
      <xdr:cxnSp macro="">
        <xdr:nvCxnSpPr>
          <xdr:cNvPr id="4" name="Straight Arrow Connector 3">
            <a:extLst>
              <a:ext uri="{FF2B5EF4-FFF2-40B4-BE49-F238E27FC236}">
                <a16:creationId xmlns:a16="http://schemas.microsoft.com/office/drawing/2014/main" id="{F5E28383-EC33-4703-B581-2501E07A0E9B}"/>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6BC48661-2969-4F33-B737-42BF098B4C15}"/>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19051</xdr:colOff>
      <xdr:row>5</xdr:row>
      <xdr:rowOff>14287</xdr:rowOff>
    </xdr:from>
    <xdr:to>
      <xdr:col>15</xdr:col>
      <xdr:colOff>14288</xdr:colOff>
      <xdr:row>7</xdr:row>
      <xdr:rowOff>128586</xdr:rowOff>
    </xdr:to>
    <xdr:grpSp>
      <xdr:nvGrpSpPr>
        <xdr:cNvPr id="6" name="Group 5">
          <a:extLst>
            <a:ext uri="{FF2B5EF4-FFF2-40B4-BE49-F238E27FC236}">
              <a16:creationId xmlns:a16="http://schemas.microsoft.com/office/drawing/2014/main" id="{869A7423-8F3B-434B-A222-6EA591610D05}"/>
            </a:ext>
          </a:extLst>
        </xdr:cNvPr>
        <xdr:cNvGrpSpPr/>
      </xdr:nvGrpSpPr>
      <xdr:grpSpPr>
        <a:xfrm>
          <a:off x="7372351" y="776287"/>
          <a:ext cx="178117" cy="464819"/>
          <a:chOff x="6719888" y="876301"/>
          <a:chExt cx="171450" cy="447674"/>
        </a:xfrm>
      </xdr:grpSpPr>
      <xdr:cxnSp macro="">
        <xdr:nvCxnSpPr>
          <xdr:cNvPr id="7" name="Straight Arrow Connector 6">
            <a:extLst>
              <a:ext uri="{FF2B5EF4-FFF2-40B4-BE49-F238E27FC236}">
                <a16:creationId xmlns:a16="http://schemas.microsoft.com/office/drawing/2014/main" id="{46977933-862D-41F4-848D-54F2121EED82}"/>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Arrow Connector 7">
            <a:extLst>
              <a:ext uri="{FF2B5EF4-FFF2-40B4-BE49-F238E27FC236}">
                <a16:creationId xmlns:a16="http://schemas.microsoft.com/office/drawing/2014/main" id="{9A87CD25-8A58-4D71-84E7-190AA0253CA5}"/>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9526</xdr:colOff>
      <xdr:row>5</xdr:row>
      <xdr:rowOff>57150</xdr:rowOff>
    </xdr:from>
    <xdr:to>
      <xdr:col>20</xdr:col>
      <xdr:colOff>166688</xdr:colOff>
      <xdr:row>8</xdr:row>
      <xdr:rowOff>4762</xdr:rowOff>
    </xdr:to>
    <xdr:grpSp>
      <xdr:nvGrpSpPr>
        <xdr:cNvPr id="9" name="Group 8">
          <a:extLst>
            <a:ext uri="{FF2B5EF4-FFF2-40B4-BE49-F238E27FC236}">
              <a16:creationId xmlns:a16="http://schemas.microsoft.com/office/drawing/2014/main" id="{17C961FB-274F-4A35-B896-3A02F82CF5B1}"/>
            </a:ext>
          </a:extLst>
        </xdr:cNvPr>
        <xdr:cNvGrpSpPr/>
      </xdr:nvGrpSpPr>
      <xdr:grpSpPr>
        <a:xfrm>
          <a:off x="9420226" y="819150"/>
          <a:ext cx="157162" cy="481012"/>
          <a:chOff x="6719888" y="876301"/>
          <a:chExt cx="171450" cy="447674"/>
        </a:xfrm>
      </xdr:grpSpPr>
      <xdr:cxnSp macro="">
        <xdr:nvCxnSpPr>
          <xdr:cNvPr id="10" name="Straight Arrow Connector 9">
            <a:extLst>
              <a:ext uri="{FF2B5EF4-FFF2-40B4-BE49-F238E27FC236}">
                <a16:creationId xmlns:a16="http://schemas.microsoft.com/office/drawing/2014/main" id="{9F9D7A02-1D07-4EA3-9049-525F78239443}"/>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26DFA41D-7690-438A-99F2-F5CBB7CAF520}"/>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19051</xdr:colOff>
      <xdr:row>2</xdr:row>
      <xdr:rowOff>109538</xdr:rowOff>
    </xdr:from>
    <xdr:to>
      <xdr:col>11</xdr:col>
      <xdr:colOff>4763</xdr:colOff>
      <xdr:row>5</xdr:row>
      <xdr:rowOff>57149</xdr:rowOff>
    </xdr:to>
    <xdr:grpSp>
      <xdr:nvGrpSpPr>
        <xdr:cNvPr id="12" name="Group 11">
          <a:extLst>
            <a:ext uri="{FF2B5EF4-FFF2-40B4-BE49-F238E27FC236}">
              <a16:creationId xmlns:a16="http://schemas.microsoft.com/office/drawing/2014/main" id="{1DD922EB-7B3C-4829-9F73-1024965E8FC0}"/>
            </a:ext>
          </a:extLst>
        </xdr:cNvPr>
        <xdr:cNvGrpSpPr/>
      </xdr:nvGrpSpPr>
      <xdr:grpSpPr>
        <a:xfrm>
          <a:off x="5947411" y="345758"/>
          <a:ext cx="168592" cy="473391"/>
          <a:chOff x="6719888" y="876301"/>
          <a:chExt cx="171450" cy="447674"/>
        </a:xfrm>
      </xdr:grpSpPr>
      <xdr:cxnSp macro="">
        <xdr:nvCxnSpPr>
          <xdr:cNvPr id="13" name="Straight Arrow Connector 12">
            <a:extLst>
              <a:ext uri="{FF2B5EF4-FFF2-40B4-BE49-F238E27FC236}">
                <a16:creationId xmlns:a16="http://schemas.microsoft.com/office/drawing/2014/main" id="{2C9659BC-F5DC-4AF6-A27D-5713786D996E}"/>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Straight Arrow Connector 13">
            <a:extLst>
              <a:ext uri="{FF2B5EF4-FFF2-40B4-BE49-F238E27FC236}">
                <a16:creationId xmlns:a16="http://schemas.microsoft.com/office/drawing/2014/main" id="{4E9B6221-1B0C-43B6-921E-E8660A4FEB3C}"/>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33338</xdr:colOff>
      <xdr:row>7</xdr:row>
      <xdr:rowOff>52387</xdr:rowOff>
    </xdr:from>
    <xdr:to>
      <xdr:col>11</xdr:col>
      <xdr:colOff>19050</xdr:colOff>
      <xdr:row>9</xdr:row>
      <xdr:rowOff>161924</xdr:rowOff>
    </xdr:to>
    <xdr:grpSp>
      <xdr:nvGrpSpPr>
        <xdr:cNvPr id="15" name="Group 14">
          <a:extLst>
            <a:ext uri="{FF2B5EF4-FFF2-40B4-BE49-F238E27FC236}">
              <a16:creationId xmlns:a16="http://schemas.microsoft.com/office/drawing/2014/main" id="{8FC53757-794F-4307-8111-6D00BE2A2F72}"/>
            </a:ext>
          </a:extLst>
        </xdr:cNvPr>
        <xdr:cNvGrpSpPr/>
      </xdr:nvGrpSpPr>
      <xdr:grpSpPr>
        <a:xfrm>
          <a:off x="5961698" y="1164907"/>
          <a:ext cx="168592" cy="467677"/>
          <a:chOff x="6719888" y="876301"/>
          <a:chExt cx="171450" cy="447674"/>
        </a:xfrm>
      </xdr:grpSpPr>
      <xdr:cxnSp macro="">
        <xdr:nvCxnSpPr>
          <xdr:cNvPr id="16" name="Straight Arrow Connector 15">
            <a:extLst>
              <a:ext uri="{FF2B5EF4-FFF2-40B4-BE49-F238E27FC236}">
                <a16:creationId xmlns:a16="http://schemas.microsoft.com/office/drawing/2014/main" id="{D6F0237A-2519-4F30-90C3-2A93DA3253EC}"/>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7422A6BB-5722-41B2-94A2-ACC984BE0E18}"/>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33338</xdr:colOff>
      <xdr:row>2</xdr:row>
      <xdr:rowOff>152401</xdr:rowOff>
    </xdr:from>
    <xdr:to>
      <xdr:col>17</xdr:col>
      <xdr:colOff>19050</xdr:colOff>
      <xdr:row>5</xdr:row>
      <xdr:rowOff>100012</xdr:rowOff>
    </xdr:to>
    <xdr:grpSp>
      <xdr:nvGrpSpPr>
        <xdr:cNvPr id="18" name="Group 17">
          <a:extLst>
            <a:ext uri="{FF2B5EF4-FFF2-40B4-BE49-F238E27FC236}">
              <a16:creationId xmlns:a16="http://schemas.microsoft.com/office/drawing/2014/main" id="{DBB2EC28-3D66-42B7-92FC-C7623899FC1E}"/>
            </a:ext>
          </a:extLst>
        </xdr:cNvPr>
        <xdr:cNvGrpSpPr/>
      </xdr:nvGrpSpPr>
      <xdr:grpSpPr>
        <a:xfrm>
          <a:off x="8095298" y="388621"/>
          <a:ext cx="168592" cy="473391"/>
          <a:chOff x="6719888" y="876301"/>
          <a:chExt cx="171450" cy="447674"/>
        </a:xfrm>
      </xdr:grpSpPr>
      <xdr:cxnSp macro="">
        <xdr:nvCxnSpPr>
          <xdr:cNvPr id="19" name="Straight Arrow Connector 18">
            <a:extLst>
              <a:ext uri="{FF2B5EF4-FFF2-40B4-BE49-F238E27FC236}">
                <a16:creationId xmlns:a16="http://schemas.microsoft.com/office/drawing/2014/main" id="{B35DA18A-748C-4CF8-9616-A8C558DCC8F8}"/>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F1B1C2F-F910-4755-870D-3C04A215E418}"/>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19051</xdr:colOff>
      <xdr:row>7</xdr:row>
      <xdr:rowOff>14287</xdr:rowOff>
    </xdr:from>
    <xdr:to>
      <xdr:col>17</xdr:col>
      <xdr:colOff>14288</xdr:colOff>
      <xdr:row>9</xdr:row>
      <xdr:rowOff>128586</xdr:rowOff>
    </xdr:to>
    <xdr:grpSp>
      <xdr:nvGrpSpPr>
        <xdr:cNvPr id="27" name="Group 26">
          <a:extLst>
            <a:ext uri="{FF2B5EF4-FFF2-40B4-BE49-F238E27FC236}">
              <a16:creationId xmlns:a16="http://schemas.microsoft.com/office/drawing/2014/main" id="{50B7F273-B206-4413-991D-995DC28C9FDA}"/>
            </a:ext>
          </a:extLst>
        </xdr:cNvPr>
        <xdr:cNvGrpSpPr/>
      </xdr:nvGrpSpPr>
      <xdr:grpSpPr>
        <a:xfrm>
          <a:off x="8081011" y="1126807"/>
          <a:ext cx="178117" cy="472439"/>
          <a:chOff x="6719888" y="876301"/>
          <a:chExt cx="171450" cy="447674"/>
        </a:xfrm>
      </xdr:grpSpPr>
      <xdr:cxnSp macro="">
        <xdr:nvCxnSpPr>
          <xdr:cNvPr id="28" name="Straight Arrow Connector 27">
            <a:extLst>
              <a:ext uri="{FF2B5EF4-FFF2-40B4-BE49-F238E27FC236}">
                <a16:creationId xmlns:a16="http://schemas.microsoft.com/office/drawing/2014/main" id="{9641E626-1A87-4C50-A68F-D42DA16C47C1}"/>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753DB68D-542F-476C-95D5-2D820877F492}"/>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22</xdr:col>
      <xdr:colOff>19050</xdr:colOff>
      <xdr:row>3</xdr:row>
      <xdr:rowOff>19050</xdr:rowOff>
    </xdr:from>
    <xdr:to>
      <xdr:col>23</xdr:col>
      <xdr:colOff>71437</xdr:colOff>
      <xdr:row>5</xdr:row>
      <xdr:rowOff>133349</xdr:rowOff>
    </xdr:to>
    <xdr:grpSp>
      <xdr:nvGrpSpPr>
        <xdr:cNvPr id="30" name="Group 29">
          <a:extLst>
            <a:ext uri="{FF2B5EF4-FFF2-40B4-BE49-F238E27FC236}">
              <a16:creationId xmlns:a16="http://schemas.microsoft.com/office/drawing/2014/main" id="{F783F772-BAE9-4BE4-90F3-21037E2BCC1D}"/>
            </a:ext>
          </a:extLst>
        </xdr:cNvPr>
        <xdr:cNvGrpSpPr/>
      </xdr:nvGrpSpPr>
      <xdr:grpSpPr>
        <a:xfrm>
          <a:off x="10138410" y="430530"/>
          <a:ext cx="166687" cy="464819"/>
          <a:chOff x="6719888" y="876301"/>
          <a:chExt cx="171450" cy="447674"/>
        </a:xfrm>
      </xdr:grpSpPr>
      <xdr:cxnSp macro="">
        <xdr:nvCxnSpPr>
          <xdr:cNvPr id="31" name="Straight Arrow Connector 30">
            <a:extLst>
              <a:ext uri="{FF2B5EF4-FFF2-40B4-BE49-F238E27FC236}">
                <a16:creationId xmlns:a16="http://schemas.microsoft.com/office/drawing/2014/main" id="{08A0D322-3A79-4B75-BC0C-3CC5E31526EF}"/>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2" name="Straight Arrow Connector 31">
            <a:extLst>
              <a:ext uri="{FF2B5EF4-FFF2-40B4-BE49-F238E27FC236}">
                <a16:creationId xmlns:a16="http://schemas.microsoft.com/office/drawing/2014/main" id="{AB173D5E-18E1-4F15-971A-151907B463DB}"/>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22</xdr:col>
      <xdr:colOff>0</xdr:colOff>
      <xdr:row>7</xdr:row>
      <xdr:rowOff>76200</xdr:rowOff>
    </xdr:from>
    <xdr:to>
      <xdr:col>23</xdr:col>
      <xdr:colOff>52387</xdr:colOff>
      <xdr:row>10</xdr:row>
      <xdr:rowOff>19049</xdr:rowOff>
    </xdr:to>
    <xdr:grpSp>
      <xdr:nvGrpSpPr>
        <xdr:cNvPr id="33" name="Group 32">
          <a:extLst>
            <a:ext uri="{FF2B5EF4-FFF2-40B4-BE49-F238E27FC236}">
              <a16:creationId xmlns:a16="http://schemas.microsoft.com/office/drawing/2014/main" id="{01F42660-9198-41B6-B677-7849D4E9882B}"/>
            </a:ext>
          </a:extLst>
        </xdr:cNvPr>
        <xdr:cNvGrpSpPr/>
      </xdr:nvGrpSpPr>
      <xdr:grpSpPr>
        <a:xfrm>
          <a:off x="10119360" y="1188720"/>
          <a:ext cx="166687" cy="476249"/>
          <a:chOff x="6719888" y="876301"/>
          <a:chExt cx="171450" cy="447674"/>
        </a:xfrm>
      </xdr:grpSpPr>
      <xdr:cxnSp macro="">
        <xdr:nvCxnSpPr>
          <xdr:cNvPr id="34" name="Straight Arrow Connector 33">
            <a:extLst>
              <a:ext uri="{FF2B5EF4-FFF2-40B4-BE49-F238E27FC236}">
                <a16:creationId xmlns:a16="http://schemas.microsoft.com/office/drawing/2014/main" id="{3F20C07F-C3C3-4474-9A86-BBFA07739D95}"/>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5" name="Straight Arrow Connector 34">
            <a:extLst>
              <a:ext uri="{FF2B5EF4-FFF2-40B4-BE49-F238E27FC236}">
                <a16:creationId xmlns:a16="http://schemas.microsoft.com/office/drawing/2014/main" id="{48A8C541-1508-435F-9F7F-6CEF9A161BDC}"/>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14288</xdr:colOff>
      <xdr:row>8</xdr:row>
      <xdr:rowOff>42863</xdr:rowOff>
    </xdr:from>
    <xdr:to>
      <xdr:col>8</xdr:col>
      <xdr:colOff>0</xdr:colOff>
      <xdr:row>10</xdr:row>
      <xdr:rowOff>157162</xdr:rowOff>
    </xdr:to>
    <xdr:grpSp>
      <xdr:nvGrpSpPr>
        <xdr:cNvPr id="2" name="Group 1">
          <a:extLst>
            <a:ext uri="{FF2B5EF4-FFF2-40B4-BE49-F238E27FC236}">
              <a16:creationId xmlns:a16="http://schemas.microsoft.com/office/drawing/2014/main" id="{AEAECE32-5D99-47A6-8695-5B82492FA14D}"/>
            </a:ext>
          </a:extLst>
        </xdr:cNvPr>
        <xdr:cNvGrpSpPr/>
      </xdr:nvGrpSpPr>
      <xdr:grpSpPr>
        <a:xfrm>
          <a:off x="4708208" y="1338263"/>
          <a:ext cx="168592" cy="464819"/>
          <a:chOff x="6719888" y="876301"/>
          <a:chExt cx="171450" cy="447674"/>
        </a:xfrm>
      </xdr:grpSpPr>
      <xdr:cxnSp macro="">
        <xdr:nvCxnSpPr>
          <xdr:cNvPr id="3" name="Straight Arrow Connector 2">
            <a:extLst>
              <a:ext uri="{FF2B5EF4-FFF2-40B4-BE49-F238E27FC236}">
                <a16:creationId xmlns:a16="http://schemas.microsoft.com/office/drawing/2014/main" id="{73A6C2D8-28E3-484A-A400-FD73CC82A674}"/>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3">
            <a:extLst>
              <a:ext uri="{FF2B5EF4-FFF2-40B4-BE49-F238E27FC236}">
                <a16:creationId xmlns:a16="http://schemas.microsoft.com/office/drawing/2014/main" id="{ADFB092D-842D-4056-A987-9DD6561AAC44}"/>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19051</xdr:colOff>
      <xdr:row>8</xdr:row>
      <xdr:rowOff>14287</xdr:rowOff>
    </xdr:from>
    <xdr:to>
      <xdr:col>17</xdr:col>
      <xdr:colOff>14288</xdr:colOff>
      <xdr:row>10</xdr:row>
      <xdr:rowOff>128586</xdr:rowOff>
    </xdr:to>
    <xdr:grpSp>
      <xdr:nvGrpSpPr>
        <xdr:cNvPr id="5" name="Group 4">
          <a:extLst>
            <a:ext uri="{FF2B5EF4-FFF2-40B4-BE49-F238E27FC236}">
              <a16:creationId xmlns:a16="http://schemas.microsoft.com/office/drawing/2014/main" id="{BAE327BA-6FA3-420F-83A7-DF044AF449AB}"/>
            </a:ext>
          </a:extLst>
        </xdr:cNvPr>
        <xdr:cNvGrpSpPr/>
      </xdr:nvGrpSpPr>
      <xdr:grpSpPr>
        <a:xfrm>
          <a:off x="8012431" y="1309687"/>
          <a:ext cx="178117" cy="464819"/>
          <a:chOff x="6719888" y="876301"/>
          <a:chExt cx="171450" cy="447674"/>
        </a:xfrm>
      </xdr:grpSpPr>
      <xdr:cxnSp macro="">
        <xdr:nvCxnSpPr>
          <xdr:cNvPr id="6" name="Straight Arrow Connector 5">
            <a:extLst>
              <a:ext uri="{FF2B5EF4-FFF2-40B4-BE49-F238E27FC236}">
                <a16:creationId xmlns:a16="http://schemas.microsoft.com/office/drawing/2014/main" id="{FD928973-4868-4974-9974-B26A0775B0D1}"/>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5D6339ED-A464-4E53-A27A-BA96E656FA3E}"/>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24</xdr:col>
      <xdr:colOff>9526</xdr:colOff>
      <xdr:row>8</xdr:row>
      <xdr:rowOff>57150</xdr:rowOff>
    </xdr:from>
    <xdr:to>
      <xdr:col>24</xdr:col>
      <xdr:colOff>166688</xdr:colOff>
      <xdr:row>11</xdr:row>
      <xdr:rowOff>4762</xdr:rowOff>
    </xdr:to>
    <xdr:grpSp>
      <xdr:nvGrpSpPr>
        <xdr:cNvPr id="8" name="Group 7">
          <a:extLst>
            <a:ext uri="{FF2B5EF4-FFF2-40B4-BE49-F238E27FC236}">
              <a16:creationId xmlns:a16="http://schemas.microsoft.com/office/drawing/2014/main" id="{1596C833-B236-4024-8425-167389218A42}"/>
            </a:ext>
          </a:extLst>
        </xdr:cNvPr>
        <xdr:cNvGrpSpPr/>
      </xdr:nvGrpSpPr>
      <xdr:grpSpPr>
        <a:xfrm>
          <a:off x="10768966" y="1352550"/>
          <a:ext cx="157162" cy="481012"/>
          <a:chOff x="6719888" y="876301"/>
          <a:chExt cx="171450" cy="447674"/>
        </a:xfrm>
      </xdr:grpSpPr>
      <xdr:cxnSp macro="">
        <xdr:nvCxnSpPr>
          <xdr:cNvPr id="9" name="Straight Arrow Connector 8">
            <a:extLst>
              <a:ext uri="{FF2B5EF4-FFF2-40B4-BE49-F238E27FC236}">
                <a16:creationId xmlns:a16="http://schemas.microsoft.com/office/drawing/2014/main" id="{1C0D273B-D458-4D66-8D57-75ACFD4CB1E5}"/>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E76FF881-D9C0-49C6-AA1D-5BCF0072B0D8}"/>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33338</xdr:colOff>
      <xdr:row>10</xdr:row>
      <xdr:rowOff>52387</xdr:rowOff>
    </xdr:from>
    <xdr:to>
      <xdr:col>11</xdr:col>
      <xdr:colOff>19050</xdr:colOff>
      <xdr:row>12</xdr:row>
      <xdr:rowOff>161924</xdr:rowOff>
    </xdr:to>
    <xdr:grpSp>
      <xdr:nvGrpSpPr>
        <xdr:cNvPr id="14" name="Group 13">
          <a:extLst>
            <a:ext uri="{FF2B5EF4-FFF2-40B4-BE49-F238E27FC236}">
              <a16:creationId xmlns:a16="http://schemas.microsoft.com/office/drawing/2014/main" id="{B1364D3F-CDB1-4DFD-B294-1CDF1AB5D075}"/>
            </a:ext>
          </a:extLst>
        </xdr:cNvPr>
        <xdr:cNvGrpSpPr/>
      </xdr:nvGrpSpPr>
      <xdr:grpSpPr>
        <a:xfrm>
          <a:off x="5961698" y="1698307"/>
          <a:ext cx="168592" cy="467677"/>
          <a:chOff x="6719888" y="876301"/>
          <a:chExt cx="171450" cy="447674"/>
        </a:xfrm>
      </xdr:grpSpPr>
      <xdr:cxnSp macro="">
        <xdr:nvCxnSpPr>
          <xdr:cNvPr id="15" name="Straight Arrow Connector 14">
            <a:extLst>
              <a:ext uri="{FF2B5EF4-FFF2-40B4-BE49-F238E27FC236}">
                <a16:creationId xmlns:a16="http://schemas.microsoft.com/office/drawing/2014/main" id="{FFB7284F-DDF8-420F-8E34-381D7D02FCED}"/>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A845F849-4F9B-43AC-B560-8B64BE278D2C}"/>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33338</xdr:colOff>
      <xdr:row>4</xdr:row>
      <xdr:rowOff>152401</xdr:rowOff>
    </xdr:from>
    <xdr:to>
      <xdr:col>19</xdr:col>
      <xdr:colOff>19050</xdr:colOff>
      <xdr:row>8</xdr:row>
      <xdr:rowOff>100012</xdr:rowOff>
    </xdr:to>
    <xdr:grpSp>
      <xdr:nvGrpSpPr>
        <xdr:cNvPr id="17" name="Group 16">
          <a:extLst>
            <a:ext uri="{FF2B5EF4-FFF2-40B4-BE49-F238E27FC236}">
              <a16:creationId xmlns:a16="http://schemas.microsoft.com/office/drawing/2014/main" id="{38D0904F-2404-41D8-8AE2-1F675F5BA6EB}"/>
            </a:ext>
          </a:extLst>
        </xdr:cNvPr>
        <xdr:cNvGrpSpPr/>
      </xdr:nvGrpSpPr>
      <xdr:grpSpPr>
        <a:xfrm>
          <a:off x="8735378" y="739141"/>
          <a:ext cx="168592" cy="656271"/>
          <a:chOff x="6719888" y="876301"/>
          <a:chExt cx="171450" cy="447674"/>
        </a:xfrm>
      </xdr:grpSpPr>
      <xdr:cxnSp macro="">
        <xdr:nvCxnSpPr>
          <xdr:cNvPr id="18" name="Straight Arrow Connector 17">
            <a:extLst>
              <a:ext uri="{FF2B5EF4-FFF2-40B4-BE49-F238E27FC236}">
                <a16:creationId xmlns:a16="http://schemas.microsoft.com/office/drawing/2014/main" id="{F086D35E-0D40-4318-96FA-3D260C3E9E53}"/>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7FC902EE-1778-4D66-B017-F8139C451DE2}"/>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19051</xdr:colOff>
      <xdr:row>10</xdr:row>
      <xdr:rowOff>14287</xdr:rowOff>
    </xdr:from>
    <xdr:to>
      <xdr:col>19</xdr:col>
      <xdr:colOff>14288</xdr:colOff>
      <xdr:row>12</xdr:row>
      <xdr:rowOff>128586</xdr:rowOff>
    </xdr:to>
    <xdr:grpSp>
      <xdr:nvGrpSpPr>
        <xdr:cNvPr id="20" name="Group 19">
          <a:extLst>
            <a:ext uri="{FF2B5EF4-FFF2-40B4-BE49-F238E27FC236}">
              <a16:creationId xmlns:a16="http://schemas.microsoft.com/office/drawing/2014/main" id="{05630BE4-9CE7-4164-B2AB-51E612BE8BDA}"/>
            </a:ext>
          </a:extLst>
        </xdr:cNvPr>
        <xdr:cNvGrpSpPr/>
      </xdr:nvGrpSpPr>
      <xdr:grpSpPr>
        <a:xfrm>
          <a:off x="8721091" y="1660207"/>
          <a:ext cx="178117" cy="472439"/>
          <a:chOff x="6719888" y="876301"/>
          <a:chExt cx="171450" cy="447674"/>
        </a:xfrm>
      </xdr:grpSpPr>
      <xdr:cxnSp macro="">
        <xdr:nvCxnSpPr>
          <xdr:cNvPr id="21" name="Straight Arrow Connector 20">
            <a:extLst>
              <a:ext uri="{FF2B5EF4-FFF2-40B4-BE49-F238E27FC236}">
                <a16:creationId xmlns:a16="http://schemas.microsoft.com/office/drawing/2014/main" id="{36FC742F-7782-4C43-83C1-4FAC9EAEE6B0}"/>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88F08A42-7B73-49CB-BC62-F165D92723F9}"/>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26</xdr:col>
      <xdr:colOff>19050</xdr:colOff>
      <xdr:row>6</xdr:row>
      <xdr:rowOff>19050</xdr:rowOff>
    </xdr:from>
    <xdr:to>
      <xdr:col>27</xdr:col>
      <xdr:colOff>71437</xdr:colOff>
      <xdr:row>8</xdr:row>
      <xdr:rowOff>133349</xdr:rowOff>
    </xdr:to>
    <xdr:grpSp>
      <xdr:nvGrpSpPr>
        <xdr:cNvPr id="23" name="Group 22">
          <a:extLst>
            <a:ext uri="{FF2B5EF4-FFF2-40B4-BE49-F238E27FC236}">
              <a16:creationId xmlns:a16="http://schemas.microsoft.com/office/drawing/2014/main" id="{49763C8E-5EEF-4F03-9180-D811A84B9672}"/>
            </a:ext>
          </a:extLst>
        </xdr:cNvPr>
        <xdr:cNvGrpSpPr/>
      </xdr:nvGrpSpPr>
      <xdr:grpSpPr>
        <a:xfrm>
          <a:off x="11487150" y="956310"/>
          <a:ext cx="166687" cy="472439"/>
          <a:chOff x="6719888" y="876301"/>
          <a:chExt cx="171450" cy="447674"/>
        </a:xfrm>
      </xdr:grpSpPr>
      <xdr:cxnSp macro="">
        <xdr:nvCxnSpPr>
          <xdr:cNvPr id="24" name="Straight Arrow Connector 23">
            <a:extLst>
              <a:ext uri="{FF2B5EF4-FFF2-40B4-BE49-F238E27FC236}">
                <a16:creationId xmlns:a16="http://schemas.microsoft.com/office/drawing/2014/main" id="{FF66D24A-64FA-4864-AC2C-BBB71C56C702}"/>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Straight Arrow Connector 24">
            <a:extLst>
              <a:ext uri="{FF2B5EF4-FFF2-40B4-BE49-F238E27FC236}">
                <a16:creationId xmlns:a16="http://schemas.microsoft.com/office/drawing/2014/main" id="{A9A4B73D-4EC1-4612-B9F9-0F13581557D7}"/>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26</xdr:col>
      <xdr:colOff>0</xdr:colOff>
      <xdr:row>10</xdr:row>
      <xdr:rowOff>76200</xdr:rowOff>
    </xdr:from>
    <xdr:to>
      <xdr:col>27</xdr:col>
      <xdr:colOff>52387</xdr:colOff>
      <xdr:row>13</xdr:row>
      <xdr:rowOff>19049</xdr:rowOff>
    </xdr:to>
    <xdr:grpSp>
      <xdr:nvGrpSpPr>
        <xdr:cNvPr id="26" name="Group 25">
          <a:extLst>
            <a:ext uri="{FF2B5EF4-FFF2-40B4-BE49-F238E27FC236}">
              <a16:creationId xmlns:a16="http://schemas.microsoft.com/office/drawing/2014/main" id="{634ACEAC-AAAB-4591-BA24-1F11D443913C}"/>
            </a:ext>
          </a:extLst>
        </xdr:cNvPr>
        <xdr:cNvGrpSpPr/>
      </xdr:nvGrpSpPr>
      <xdr:grpSpPr>
        <a:xfrm>
          <a:off x="11468100" y="1722120"/>
          <a:ext cx="166687" cy="476249"/>
          <a:chOff x="6719888" y="876301"/>
          <a:chExt cx="171450" cy="447674"/>
        </a:xfrm>
      </xdr:grpSpPr>
      <xdr:cxnSp macro="">
        <xdr:nvCxnSpPr>
          <xdr:cNvPr id="27" name="Straight Arrow Connector 26">
            <a:extLst>
              <a:ext uri="{FF2B5EF4-FFF2-40B4-BE49-F238E27FC236}">
                <a16:creationId xmlns:a16="http://schemas.microsoft.com/office/drawing/2014/main" id="{8B282BE7-0E75-4FA6-A6DD-67C9F5A98CFD}"/>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8" name="Straight Arrow Connector 27">
            <a:extLst>
              <a:ext uri="{FF2B5EF4-FFF2-40B4-BE49-F238E27FC236}">
                <a16:creationId xmlns:a16="http://schemas.microsoft.com/office/drawing/2014/main" id="{521BA117-A315-4736-83B7-01EA42903632}"/>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0</xdr:colOff>
      <xdr:row>5</xdr:row>
      <xdr:rowOff>157162</xdr:rowOff>
    </xdr:from>
    <xdr:to>
      <xdr:col>10</xdr:col>
      <xdr:colOff>161924</xdr:colOff>
      <xdr:row>8</xdr:row>
      <xdr:rowOff>100011</xdr:rowOff>
    </xdr:to>
    <xdr:grpSp>
      <xdr:nvGrpSpPr>
        <xdr:cNvPr id="35" name="Group 34">
          <a:extLst>
            <a:ext uri="{FF2B5EF4-FFF2-40B4-BE49-F238E27FC236}">
              <a16:creationId xmlns:a16="http://schemas.microsoft.com/office/drawing/2014/main" id="{59630CEA-D9B9-4AD9-B01F-4FE841F81345}"/>
            </a:ext>
          </a:extLst>
        </xdr:cNvPr>
        <xdr:cNvGrpSpPr/>
      </xdr:nvGrpSpPr>
      <xdr:grpSpPr>
        <a:xfrm>
          <a:off x="5928360" y="919162"/>
          <a:ext cx="161924" cy="476249"/>
          <a:chOff x="6719888" y="876301"/>
          <a:chExt cx="171450" cy="447674"/>
        </a:xfrm>
      </xdr:grpSpPr>
      <xdr:cxnSp macro="">
        <xdr:nvCxnSpPr>
          <xdr:cNvPr id="36" name="Straight Arrow Connector 35">
            <a:extLst>
              <a:ext uri="{FF2B5EF4-FFF2-40B4-BE49-F238E27FC236}">
                <a16:creationId xmlns:a16="http://schemas.microsoft.com/office/drawing/2014/main" id="{D01C6F06-CB91-4DBE-B883-72367F1CDF42}"/>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7" name="Straight Arrow Connector 36">
            <a:extLst>
              <a:ext uri="{FF2B5EF4-FFF2-40B4-BE49-F238E27FC236}">
                <a16:creationId xmlns:a16="http://schemas.microsoft.com/office/drawing/2014/main" id="{4BEAE081-AEE6-4F3F-9F31-48B585DFB57C}"/>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576263</xdr:colOff>
      <xdr:row>4</xdr:row>
      <xdr:rowOff>19050</xdr:rowOff>
    </xdr:from>
    <xdr:to>
      <xdr:col>13</xdr:col>
      <xdr:colOff>42862</xdr:colOff>
      <xdr:row>6</xdr:row>
      <xdr:rowOff>133349</xdr:rowOff>
    </xdr:to>
    <xdr:grpSp>
      <xdr:nvGrpSpPr>
        <xdr:cNvPr id="38" name="Group 37">
          <a:extLst>
            <a:ext uri="{FF2B5EF4-FFF2-40B4-BE49-F238E27FC236}">
              <a16:creationId xmlns:a16="http://schemas.microsoft.com/office/drawing/2014/main" id="{D1AA5634-E6A6-4DCC-80E2-8F47EADEF0D2}"/>
            </a:ext>
          </a:extLst>
        </xdr:cNvPr>
        <xdr:cNvGrpSpPr/>
      </xdr:nvGrpSpPr>
      <xdr:grpSpPr>
        <a:xfrm>
          <a:off x="6687503" y="605790"/>
          <a:ext cx="182879" cy="464819"/>
          <a:chOff x="6719888" y="876301"/>
          <a:chExt cx="171450" cy="447674"/>
        </a:xfrm>
      </xdr:grpSpPr>
      <xdr:cxnSp macro="">
        <xdr:nvCxnSpPr>
          <xdr:cNvPr id="39" name="Straight Arrow Connector 38">
            <a:extLst>
              <a:ext uri="{FF2B5EF4-FFF2-40B4-BE49-F238E27FC236}">
                <a16:creationId xmlns:a16="http://schemas.microsoft.com/office/drawing/2014/main" id="{57BDEB2E-344D-4068-BCB9-C59B9BA96F58}"/>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0" name="Straight Arrow Connector 39">
            <a:extLst>
              <a:ext uri="{FF2B5EF4-FFF2-40B4-BE49-F238E27FC236}">
                <a16:creationId xmlns:a16="http://schemas.microsoft.com/office/drawing/2014/main" id="{0E66CCFB-C05E-4795-BAD7-1BADB91A4BC5}"/>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561975</xdr:colOff>
      <xdr:row>12</xdr:row>
      <xdr:rowOff>23813</xdr:rowOff>
    </xdr:from>
    <xdr:to>
      <xdr:col>13</xdr:col>
      <xdr:colOff>28574</xdr:colOff>
      <xdr:row>14</xdr:row>
      <xdr:rowOff>133349</xdr:rowOff>
    </xdr:to>
    <xdr:grpSp>
      <xdr:nvGrpSpPr>
        <xdr:cNvPr id="41" name="Group 40">
          <a:extLst>
            <a:ext uri="{FF2B5EF4-FFF2-40B4-BE49-F238E27FC236}">
              <a16:creationId xmlns:a16="http://schemas.microsoft.com/office/drawing/2014/main" id="{786AE97F-7F4D-48D9-BB6C-5ABCADF7E55D}"/>
            </a:ext>
          </a:extLst>
        </xdr:cNvPr>
        <xdr:cNvGrpSpPr/>
      </xdr:nvGrpSpPr>
      <xdr:grpSpPr>
        <a:xfrm>
          <a:off x="6673215" y="2027873"/>
          <a:ext cx="182879" cy="467676"/>
          <a:chOff x="6719888" y="876301"/>
          <a:chExt cx="171450" cy="447674"/>
        </a:xfrm>
      </xdr:grpSpPr>
      <xdr:cxnSp macro="">
        <xdr:nvCxnSpPr>
          <xdr:cNvPr id="42" name="Straight Arrow Connector 41">
            <a:extLst>
              <a:ext uri="{FF2B5EF4-FFF2-40B4-BE49-F238E27FC236}">
                <a16:creationId xmlns:a16="http://schemas.microsoft.com/office/drawing/2014/main" id="{BDD1D6FB-CD71-4993-8EC7-798D2D6D3BA8}"/>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Straight Arrow Connector 42">
            <a:extLst>
              <a:ext uri="{FF2B5EF4-FFF2-40B4-BE49-F238E27FC236}">
                <a16:creationId xmlns:a16="http://schemas.microsoft.com/office/drawing/2014/main" id="{3DD66BB7-C161-434A-9C00-C7B04CEB99B4}"/>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581026</xdr:colOff>
      <xdr:row>8</xdr:row>
      <xdr:rowOff>33337</xdr:rowOff>
    </xdr:from>
    <xdr:to>
      <xdr:col>13</xdr:col>
      <xdr:colOff>47625</xdr:colOff>
      <xdr:row>10</xdr:row>
      <xdr:rowOff>147636</xdr:rowOff>
    </xdr:to>
    <xdr:grpSp>
      <xdr:nvGrpSpPr>
        <xdr:cNvPr id="44" name="Group 43">
          <a:extLst>
            <a:ext uri="{FF2B5EF4-FFF2-40B4-BE49-F238E27FC236}">
              <a16:creationId xmlns:a16="http://schemas.microsoft.com/office/drawing/2014/main" id="{703B00EC-A9CF-4790-AA87-A0A6E1D75065}"/>
            </a:ext>
          </a:extLst>
        </xdr:cNvPr>
        <xdr:cNvGrpSpPr/>
      </xdr:nvGrpSpPr>
      <xdr:grpSpPr>
        <a:xfrm>
          <a:off x="6692266" y="1328737"/>
          <a:ext cx="182879" cy="464819"/>
          <a:chOff x="6719888" y="876301"/>
          <a:chExt cx="171450" cy="447674"/>
        </a:xfrm>
      </xdr:grpSpPr>
      <xdr:cxnSp macro="">
        <xdr:nvCxnSpPr>
          <xdr:cNvPr id="45" name="Straight Arrow Connector 44">
            <a:extLst>
              <a:ext uri="{FF2B5EF4-FFF2-40B4-BE49-F238E27FC236}">
                <a16:creationId xmlns:a16="http://schemas.microsoft.com/office/drawing/2014/main" id="{6C93D0B9-82CB-4DF9-AFD6-B47C97D7C785}"/>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6" name="Straight Arrow Connector 45">
            <a:extLst>
              <a:ext uri="{FF2B5EF4-FFF2-40B4-BE49-F238E27FC236}">
                <a16:creationId xmlns:a16="http://schemas.microsoft.com/office/drawing/2014/main" id="{15497343-466A-4226-9A5D-236992E2D146}"/>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4763</xdr:colOff>
      <xdr:row>3</xdr:row>
      <xdr:rowOff>123825</xdr:rowOff>
    </xdr:from>
    <xdr:to>
      <xdr:col>20</xdr:col>
      <xdr:colOff>166687</xdr:colOff>
      <xdr:row>7</xdr:row>
      <xdr:rowOff>76199</xdr:rowOff>
    </xdr:to>
    <xdr:grpSp>
      <xdr:nvGrpSpPr>
        <xdr:cNvPr id="47" name="Group 46">
          <a:extLst>
            <a:ext uri="{FF2B5EF4-FFF2-40B4-BE49-F238E27FC236}">
              <a16:creationId xmlns:a16="http://schemas.microsoft.com/office/drawing/2014/main" id="{F14F65F1-E76E-48CC-81C7-924B510C3460}"/>
            </a:ext>
          </a:extLst>
        </xdr:cNvPr>
        <xdr:cNvGrpSpPr/>
      </xdr:nvGrpSpPr>
      <xdr:grpSpPr>
        <a:xfrm>
          <a:off x="9415463" y="535305"/>
          <a:ext cx="161924" cy="653414"/>
          <a:chOff x="6719888" y="876301"/>
          <a:chExt cx="171450" cy="447674"/>
        </a:xfrm>
      </xdr:grpSpPr>
      <xdr:cxnSp macro="">
        <xdr:nvCxnSpPr>
          <xdr:cNvPr id="48" name="Straight Arrow Connector 47">
            <a:extLst>
              <a:ext uri="{FF2B5EF4-FFF2-40B4-BE49-F238E27FC236}">
                <a16:creationId xmlns:a16="http://schemas.microsoft.com/office/drawing/2014/main" id="{4A8ACFA0-A5A6-40B6-A86D-262D69867DC1}"/>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9" name="Straight Arrow Connector 48">
            <a:extLst>
              <a:ext uri="{FF2B5EF4-FFF2-40B4-BE49-F238E27FC236}">
                <a16:creationId xmlns:a16="http://schemas.microsoft.com/office/drawing/2014/main" id="{BB5454D0-5729-4FFE-8F82-45AE5658E404}"/>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23812</xdr:colOff>
      <xdr:row>7</xdr:row>
      <xdr:rowOff>114300</xdr:rowOff>
    </xdr:from>
    <xdr:to>
      <xdr:col>21</xdr:col>
      <xdr:colOff>9524</xdr:colOff>
      <xdr:row>11</xdr:row>
      <xdr:rowOff>57149</xdr:rowOff>
    </xdr:to>
    <xdr:grpSp>
      <xdr:nvGrpSpPr>
        <xdr:cNvPr id="50" name="Group 49">
          <a:extLst>
            <a:ext uri="{FF2B5EF4-FFF2-40B4-BE49-F238E27FC236}">
              <a16:creationId xmlns:a16="http://schemas.microsoft.com/office/drawing/2014/main" id="{B722C54D-FD98-47B3-AD81-CB5F4D59C444}"/>
            </a:ext>
          </a:extLst>
        </xdr:cNvPr>
        <xdr:cNvGrpSpPr/>
      </xdr:nvGrpSpPr>
      <xdr:grpSpPr>
        <a:xfrm>
          <a:off x="9434512" y="1226820"/>
          <a:ext cx="168592" cy="659129"/>
          <a:chOff x="6719888" y="876301"/>
          <a:chExt cx="171450" cy="447674"/>
        </a:xfrm>
      </xdr:grpSpPr>
      <xdr:cxnSp macro="">
        <xdr:nvCxnSpPr>
          <xdr:cNvPr id="51" name="Straight Arrow Connector 50">
            <a:extLst>
              <a:ext uri="{FF2B5EF4-FFF2-40B4-BE49-F238E27FC236}">
                <a16:creationId xmlns:a16="http://schemas.microsoft.com/office/drawing/2014/main" id="{D1ED4A7B-36E6-4328-B4B0-CB5AE6B2C60F}"/>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2" name="Straight Arrow Connector 51">
            <a:extLst>
              <a:ext uri="{FF2B5EF4-FFF2-40B4-BE49-F238E27FC236}">
                <a16:creationId xmlns:a16="http://schemas.microsoft.com/office/drawing/2014/main" id="{B0BB869F-A225-4BCD-9252-05E3AA72F804}"/>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9525</xdr:colOff>
      <xdr:row>11</xdr:row>
      <xdr:rowOff>157163</xdr:rowOff>
    </xdr:from>
    <xdr:to>
      <xdr:col>20</xdr:col>
      <xdr:colOff>171449</xdr:colOff>
      <xdr:row>15</xdr:row>
      <xdr:rowOff>104775</xdr:rowOff>
    </xdr:to>
    <xdr:grpSp>
      <xdr:nvGrpSpPr>
        <xdr:cNvPr id="53" name="Group 52">
          <a:extLst>
            <a:ext uri="{FF2B5EF4-FFF2-40B4-BE49-F238E27FC236}">
              <a16:creationId xmlns:a16="http://schemas.microsoft.com/office/drawing/2014/main" id="{F98AFC86-4A29-4D38-9D1A-0AEEEADC304C}"/>
            </a:ext>
          </a:extLst>
        </xdr:cNvPr>
        <xdr:cNvGrpSpPr/>
      </xdr:nvGrpSpPr>
      <xdr:grpSpPr>
        <a:xfrm>
          <a:off x="9420225" y="1985963"/>
          <a:ext cx="161924" cy="656272"/>
          <a:chOff x="6719888" y="876301"/>
          <a:chExt cx="171450" cy="447674"/>
        </a:xfrm>
      </xdr:grpSpPr>
      <xdr:cxnSp macro="">
        <xdr:nvCxnSpPr>
          <xdr:cNvPr id="54" name="Straight Arrow Connector 53">
            <a:extLst>
              <a:ext uri="{FF2B5EF4-FFF2-40B4-BE49-F238E27FC236}">
                <a16:creationId xmlns:a16="http://schemas.microsoft.com/office/drawing/2014/main" id="{913E64C0-7D34-4CE8-A1EE-83F8E4828F12}"/>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34095ED7-F93E-4FDE-A02B-8E75DE2D61B8}"/>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28</xdr:col>
      <xdr:colOff>19050</xdr:colOff>
      <xdr:row>4</xdr:row>
      <xdr:rowOff>19050</xdr:rowOff>
    </xdr:from>
    <xdr:to>
      <xdr:col>29</xdr:col>
      <xdr:colOff>71437</xdr:colOff>
      <xdr:row>6</xdr:row>
      <xdr:rowOff>133349</xdr:rowOff>
    </xdr:to>
    <xdr:grpSp>
      <xdr:nvGrpSpPr>
        <xdr:cNvPr id="56" name="Group 55">
          <a:extLst>
            <a:ext uri="{FF2B5EF4-FFF2-40B4-BE49-F238E27FC236}">
              <a16:creationId xmlns:a16="http://schemas.microsoft.com/office/drawing/2014/main" id="{70513642-7E1A-4B6D-91FD-B6B9CB1C0441}"/>
            </a:ext>
          </a:extLst>
        </xdr:cNvPr>
        <xdr:cNvGrpSpPr/>
      </xdr:nvGrpSpPr>
      <xdr:grpSpPr>
        <a:xfrm>
          <a:off x="12127230" y="605790"/>
          <a:ext cx="235267" cy="464819"/>
          <a:chOff x="6719888" y="876301"/>
          <a:chExt cx="171450" cy="447674"/>
        </a:xfrm>
      </xdr:grpSpPr>
      <xdr:cxnSp macro="">
        <xdr:nvCxnSpPr>
          <xdr:cNvPr id="57" name="Straight Arrow Connector 56">
            <a:extLst>
              <a:ext uri="{FF2B5EF4-FFF2-40B4-BE49-F238E27FC236}">
                <a16:creationId xmlns:a16="http://schemas.microsoft.com/office/drawing/2014/main" id="{271D5961-0220-41F5-97E3-4C3F0ACE263E}"/>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8" name="Straight Arrow Connector 57">
            <a:extLst>
              <a:ext uri="{FF2B5EF4-FFF2-40B4-BE49-F238E27FC236}">
                <a16:creationId xmlns:a16="http://schemas.microsoft.com/office/drawing/2014/main" id="{90AF0F72-3231-46A1-B693-CF74EB8C694E}"/>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28</xdr:col>
      <xdr:colOff>19050</xdr:colOff>
      <xdr:row>8</xdr:row>
      <xdr:rowOff>19050</xdr:rowOff>
    </xdr:from>
    <xdr:to>
      <xdr:col>29</xdr:col>
      <xdr:colOff>71437</xdr:colOff>
      <xdr:row>10</xdr:row>
      <xdr:rowOff>133349</xdr:rowOff>
    </xdr:to>
    <xdr:grpSp>
      <xdr:nvGrpSpPr>
        <xdr:cNvPr id="59" name="Group 58">
          <a:extLst>
            <a:ext uri="{FF2B5EF4-FFF2-40B4-BE49-F238E27FC236}">
              <a16:creationId xmlns:a16="http://schemas.microsoft.com/office/drawing/2014/main" id="{23FB7318-15BB-468C-94C1-C3FFBC1D3DC4}"/>
            </a:ext>
          </a:extLst>
        </xdr:cNvPr>
        <xdr:cNvGrpSpPr/>
      </xdr:nvGrpSpPr>
      <xdr:grpSpPr>
        <a:xfrm>
          <a:off x="12127230" y="1314450"/>
          <a:ext cx="235267" cy="464819"/>
          <a:chOff x="6719888" y="876301"/>
          <a:chExt cx="171450" cy="447674"/>
        </a:xfrm>
      </xdr:grpSpPr>
      <xdr:cxnSp macro="">
        <xdr:nvCxnSpPr>
          <xdr:cNvPr id="60" name="Straight Arrow Connector 59">
            <a:extLst>
              <a:ext uri="{FF2B5EF4-FFF2-40B4-BE49-F238E27FC236}">
                <a16:creationId xmlns:a16="http://schemas.microsoft.com/office/drawing/2014/main" id="{F3881589-3FD5-4600-B502-D86565F8C440}"/>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1" name="Straight Arrow Connector 60">
            <a:extLst>
              <a:ext uri="{FF2B5EF4-FFF2-40B4-BE49-F238E27FC236}">
                <a16:creationId xmlns:a16="http://schemas.microsoft.com/office/drawing/2014/main" id="{A3B75528-3920-4970-813D-ADC6BD920FC5}"/>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28</xdr:col>
      <xdr:colOff>19050</xdr:colOff>
      <xdr:row>12</xdr:row>
      <xdr:rowOff>19050</xdr:rowOff>
    </xdr:from>
    <xdr:to>
      <xdr:col>29</xdr:col>
      <xdr:colOff>71437</xdr:colOff>
      <xdr:row>14</xdr:row>
      <xdr:rowOff>133349</xdr:rowOff>
    </xdr:to>
    <xdr:grpSp>
      <xdr:nvGrpSpPr>
        <xdr:cNvPr id="62" name="Group 61">
          <a:extLst>
            <a:ext uri="{FF2B5EF4-FFF2-40B4-BE49-F238E27FC236}">
              <a16:creationId xmlns:a16="http://schemas.microsoft.com/office/drawing/2014/main" id="{06C950D4-4701-4596-BFE3-A26A8ECCBEE3}"/>
            </a:ext>
          </a:extLst>
        </xdr:cNvPr>
        <xdr:cNvGrpSpPr/>
      </xdr:nvGrpSpPr>
      <xdr:grpSpPr>
        <a:xfrm>
          <a:off x="12127230" y="2023110"/>
          <a:ext cx="235267" cy="472439"/>
          <a:chOff x="6719888" y="876301"/>
          <a:chExt cx="171450" cy="447674"/>
        </a:xfrm>
      </xdr:grpSpPr>
      <xdr:cxnSp macro="">
        <xdr:nvCxnSpPr>
          <xdr:cNvPr id="63" name="Straight Arrow Connector 62">
            <a:extLst>
              <a:ext uri="{FF2B5EF4-FFF2-40B4-BE49-F238E27FC236}">
                <a16:creationId xmlns:a16="http://schemas.microsoft.com/office/drawing/2014/main" id="{03E2D8FB-3824-4FB2-913E-1590F42B262C}"/>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4" name="Straight Arrow Connector 63">
            <a:extLst>
              <a:ext uri="{FF2B5EF4-FFF2-40B4-BE49-F238E27FC236}">
                <a16:creationId xmlns:a16="http://schemas.microsoft.com/office/drawing/2014/main" id="{64E1D170-DD02-4C99-BB13-D41BCB51239C}"/>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14288</xdr:colOff>
      <xdr:row>5</xdr:row>
      <xdr:rowOff>42863</xdr:rowOff>
    </xdr:from>
    <xdr:to>
      <xdr:col>8</xdr:col>
      <xdr:colOff>0</xdr:colOff>
      <xdr:row>7</xdr:row>
      <xdr:rowOff>157162</xdr:rowOff>
    </xdr:to>
    <xdr:grpSp>
      <xdr:nvGrpSpPr>
        <xdr:cNvPr id="3" name="Group 2">
          <a:extLst>
            <a:ext uri="{FF2B5EF4-FFF2-40B4-BE49-F238E27FC236}">
              <a16:creationId xmlns:a16="http://schemas.microsoft.com/office/drawing/2014/main" id="{573FD90D-FA56-4568-B6C9-165B025C6C29}"/>
            </a:ext>
          </a:extLst>
        </xdr:cNvPr>
        <xdr:cNvGrpSpPr/>
      </xdr:nvGrpSpPr>
      <xdr:grpSpPr>
        <a:xfrm>
          <a:off x="4708208" y="804863"/>
          <a:ext cx="168592" cy="464819"/>
          <a:chOff x="6719888" y="876301"/>
          <a:chExt cx="171450" cy="447674"/>
        </a:xfrm>
      </xdr:grpSpPr>
      <xdr:cxnSp macro="">
        <xdr:nvCxnSpPr>
          <xdr:cNvPr id="4" name="Straight Arrow Connector 3">
            <a:extLst>
              <a:ext uri="{FF2B5EF4-FFF2-40B4-BE49-F238E27FC236}">
                <a16:creationId xmlns:a16="http://schemas.microsoft.com/office/drawing/2014/main" id="{18F4E624-20B6-4A7E-BEC2-98526CA9A0D5}"/>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7F5BCC77-8A1F-4077-86F1-389F8A858DCC}"/>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19051</xdr:colOff>
      <xdr:row>5</xdr:row>
      <xdr:rowOff>14287</xdr:rowOff>
    </xdr:from>
    <xdr:to>
      <xdr:col>12</xdr:col>
      <xdr:colOff>14288</xdr:colOff>
      <xdr:row>7</xdr:row>
      <xdr:rowOff>128586</xdr:rowOff>
    </xdr:to>
    <xdr:grpSp>
      <xdr:nvGrpSpPr>
        <xdr:cNvPr id="6" name="Group 5">
          <a:extLst>
            <a:ext uri="{FF2B5EF4-FFF2-40B4-BE49-F238E27FC236}">
              <a16:creationId xmlns:a16="http://schemas.microsoft.com/office/drawing/2014/main" id="{B691611C-416C-4CBA-97C6-A0F44BE42937}"/>
            </a:ext>
          </a:extLst>
        </xdr:cNvPr>
        <xdr:cNvGrpSpPr/>
      </xdr:nvGrpSpPr>
      <xdr:grpSpPr>
        <a:xfrm>
          <a:off x="6473191" y="776287"/>
          <a:ext cx="178117" cy="464819"/>
          <a:chOff x="6719888" y="876301"/>
          <a:chExt cx="171450" cy="447674"/>
        </a:xfrm>
      </xdr:grpSpPr>
      <xdr:cxnSp macro="">
        <xdr:nvCxnSpPr>
          <xdr:cNvPr id="7" name="Straight Arrow Connector 6">
            <a:extLst>
              <a:ext uri="{FF2B5EF4-FFF2-40B4-BE49-F238E27FC236}">
                <a16:creationId xmlns:a16="http://schemas.microsoft.com/office/drawing/2014/main" id="{77C265D4-6994-4093-9294-4AA5FB903CE4}"/>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Arrow Connector 7">
            <a:extLst>
              <a:ext uri="{FF2B5EF4-FFF2-40B4-BE49-F238E27FC236}">
                <a16:creationId xmlns:a16="http://schemas.microsoft.com/office/drawing/2014/main" id="{1875F9C7-EEC8-4BF7-87E8-D281B85CA920}"/>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15</xdr:col>
      <xdr:colOff>9526</xdr:colOff>
      <xdr:row>5</xdr:row>
      <xdr:rowOff>57150</xdr:rowOff>
    </xdr:from>
    <xdr:to>
      <xdr:col>15</xdr:col>
      <xdr:colOff>166688</xdr:colOff>
      <xdr:row>8</xdr:row>
      <xdr:rowOff>4762</xdr:rowOff>
    </xdr:to>
    <xdr:grpSp>
      <xdr:nvGrpSpPr>
        <xdr:cNvPr id="9" name="Group 8">
          <a:extLst>
            <a:ext uri="{FF2B5EF4-FFF2-40B4-BE49-F238E27FC236}">
              <a16:creationId xmlns:a16="http://schemas.microsoft.com/office/drawing/2014/main" id="{4ADD84E4-AE39-4138-95F7-967CDD37AC30}"/>
            </a:ext>
          </a:extLst>
        </xdr:cNvPr>
        <xdr:cNvGrpSpPr/>
      </xdr:nvGrpSpPr>
      <xdr:grpSpPr>
        <a:xfrm>
          <a:off x="7812406" y="819150"/>
          <a:ext cx="157162" cy="481012"/>
          <a:chOff x="6719888" y="876301"/>
          <a:chExt cx="171450" cy="447674"/>
        </a:xfrm>
      </xdr:grpSpPr>
      <xdr:cxnSp macro="">
        <xdr:nvCxnSpPr>
          <xdr:cNvPr id="10" name="Straight Arrow Connector 9">
            <a:extLst>
              <a:ext uri="{FF2B5EF4-FFF2-40B4-BE49-F238E27FC236}">
                <a16:creationId xmlns:a16="http://schemas.microsoft.com/office/drawing/2014/main" id="{2BEDDB86-B0E5-4B6F-B6AA-701883A37E5D}"/>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71D78DD7-14AC-4826-B832-4D1BE2AF3E07}"/>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14288</xdr:colOff>
      <xdr:row>5</xdr:row>
      <xdr:rowOff>42863</xdr:rowOff>
    </xdr:from>
    <xdr:to>
      <xdr:col>8</xdr:col>
      <xdr:colOff>0</xdr:colOff>
      <xdr:row>7</xdr:row>
      <xdr:rowOff>157162</xdr:rowOff>
    </xdr:to>
    <xdr:grpSp>
      <xdr:nvGrpSpPr>
        <xdr:cNvPr id="3" name="Group 2">
          <a:extLst>
            <a:ext uri="{FF2B5EF4-FFF2-40B4-BE49-F238E27FC236}">
              <a16:creationId xmlns:a16="http://schemas.microsoft.com/office/drawing/2014/main" id="{4C30D8E8-98EF-415E-A7D3-F864B6F5929A}"/>
            </a:ext>
          </a:extLst>
        </xdr:cNvPr>
        <xdr:cNvGrpSpPr/>
      </xdr:nvGrpSpPr>
      <xdr:grpSpPr>
        <a:xfrm>
          <a:off x="4708208" y="804863"/>
          <a:ext cx="168592" cy="464819"/>
          <a:chOff x="6719888" y="876301"/>
          <a:chExt cx="171450" cy="447674"/>
        </a:xfrm>
      </xdr:grpSpPr>
      <xdr:cxnSp macro="">
        <xdr:nvCxnSpPr>
          <xdr:cNvPr id="4" name="Straight Arrow Connector 3">
            <a:extLst>
              <a:ext uri="{FF2B5EF4-FFF2-40B4-BE49-F238E27FC236}">
                <a16:creationId xmlns:a16="http://schemas.microsoft.com/office/drawing/2014/main" id="{EFC8C3DB-1C2A-436F-9C3B-8EE45D4AC8D8}"/>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EFACE397-08D4-40C2-B9B2-FD2DCFDAD249}"/>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19051</xdr:colOff>
      <xdr:row>5</xdr:row>
      <xdr:rowOff>14287</xdr:rowOff>
    </xdr:from>
    <xdr:to>
      <xdr:col>15</xdr:col>
      <xdr:colOff>14288</xdr:colOff>
      <xdr:row>7</xdr:row>
      <xdr:rowOff>128586</xdr:rowOff>
    </xdr:to>
    <xdr:grpSp>
      <xdr:nvGrpSpPr>
        <xdr:cNvPr id="6" name="Group 5">
          <a:extLst>
            <a:ext uri="{FF2B5EF4-FFF2-40B4-BE49-F238E27FC236}">
              <a16:creationId xmlns:a16="http://schemas.microsoft.com/office/drawing/2014/main" id="{AEAE2F1C-664D-4DC4-9672-E45C73812027}"/>
            </a:ext>
          </a:extLst>
        </xdr:cNvPr>
        <xdr:cNvGrpSpPr/>
      </xdr:nvGrpSpPr>
      <xdr:grpSpPr>
        <a:xfrm>
          <a:off x="7372351" y="776287"/>
          <a:ext cx="178117" cy="464819"/>
          <a:chOff x="6719888" y="876301"/>
          <a:chExt cx="171450" cy="447674"/>
        </a:xfrm>
      </xdr:grpSpPr>
      <xdr:cxnSp macro="">
        <xdr:nvCxnSpPr>
          <xdr:cNvPr id="7" name="Straight Arrow Connector 6">
            <a:extLst>
              <a:ext uri="{FF2B5EF4-FFF2-40B4-BE49-F238E27FC236}">
                <a16:creationId xmlns:a16="http://schemas.microsoft.com/office/drawing/2014/main" id="{B86A2C6D-2E24-4EE3-9235-B79055622D24}"/>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Arrow Connector 7">
            <a:extLst>
              <a:ext uri="{FF2B5EF4-FFF2-40B4-BE49-F238E27FC236}">
                <a16:creationId xmlns:a16="http://schemas.microsoft.com/office/drawing/2014/main" id="{22599220-B585-4F6B-9286-93CF676DDADB}"/>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9526</xdr:colOff>
      <xdr:row>5</xdr:row>
      <xdr:rowOff>57150</xdr:rowOff>
    </xdr:from>
    <xdr:to>
      <xdr:col>20</xdr:col>
      <xdr:colOff>166688</xdr:colOff>
      <xdr:row>8</xdr:row>
      <xdr:rowOff>4762</xdr:rowOff>
    </xdr:to>
    <xdr:grpSp>
      <xdr:nvGrpSpPr>
        <xdr:cNvPr id="9" name="Group 8">
          <a:extLst>
            <a:ext uri="{FF2B5EF4-FFF2-40B4-BE49-F238E27FC236}">
              <a16:creationId xmlns:a16="http://schemas.microsoft.com/office/drawing/2014/main" id="{7B6E9BDD-7C9E-4394-BFB4-8D16D18BE579}"/>
            </a:ext>
          </a:extLst>
        </xdr:cNvPr>
        <xdr:cNvGrpSpPr/>
      </xdr:nvGrpSpPr>
      <xdr:grpSpPr>
        <a:xfrm>
          <a:off x="9420226" y="819150"/>
          <a:ext cx="157162" cy="481012"/>
          <a:chOff x="6719888" y="876301"/>
          <a:chExt cx="171450" cy="447674"/>
        </a:xfrm>
      </xdr:grpSpPr>
      <xdr:cxnSp macro="">
        <xdr:nvCxnSpPr>
          <xdr:cNvPr id="10" name="Straight Arrow Connector 9">
            <a:extLst>
              <a:ext uri="{FF2B5EF4-FFF2-40B4-BE49-F238E27FC236}">
                <a16:creationId xmlns:a16="http://schemas.microsoft.com/office/drawing/2014/main" id="{69810235-2515-4F1D-9664-061F5CF06EAE}"/>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1B2C9564-DD3F-4EC5-80D3-BAA83BB53A54}"/>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19051</xdr:colOff>
      <xdr:row>2</xdr:row>
      <xdr:rowOff>109538</xdr:rowOff>
    </xdr:from>
    <xdr:to>
      <xdr:col>11</xdr:col>
      <xdr:colOff>4763</xdr:colOff>
      <xdr:row>5</xdr:row>
      <xdr:rowOff>57149</xdr:rowOff>
    </xdr:to>
    <xdr:grpSp>
      <xdr:nvGrpSpPr>
        <xdr:cNvPr id="12" name="Group 11">
          <a:extLst>
            <a:ext uri="{FF2B5EF4-FFF2-40B4-BE49-F238E27FC236}">
              <a16:creationId xmlns:a16="http://schemas.microsoft.com/office/drawing/2014/main" id="{61644C1E-EA8E-4014-A8C2-C07B44EB8EB9}"/>
            </a:ext>
          </a:extLst>
        </xdr:cNvPr>
        <xdr:cNvGrpSpPr/>
      </xdr:nvGrpSpPr>
      <xdr:grpSpPr>
        <a:xfrm>
          <a:off x="5947411" y="345758"/>
          <a:ext cx="168592" cy="473391"/>
          <a:chOff x="6719888" y="876301"/>
          <a:chExt cx="171450" cy="447674"/>
        </a:xfrm>
      </xdr:grpSpPr>
      <xdr:cxnSp macro="">
        <xdr:nvCxnSpPr>
          <xdr:cNvPr id="13" name="Straight Arrow Connector 12">
            <a:extLst>
              <a:ext uri="{FF2B5EF4-FFF2-40B4-BE49-F238E27FC236}">
                <a16:creationId xmlns:a16="http://schemas.microsoft.com/office/drawing/2014/main" id="{540FD5D2-D2C5-42B0-9001-A3B1A783FA86}"/>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Straight Arrow Connector 13">
            <a:extLst>
              <a:ext uri="{FF2B5EF4-FFF2-40B4-BE49-F238E27FC236}">
                <a16:creationId xmlns:a16="http://schemas.microsoft.com/office/drawing/2014/main" id="{772BD18A-9C3C-496E-A860-6584DFA35DA1}"/>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33338</xdr:colOff>
      <xdr:row>7</xdr:row>
      <xdr:rowOff>52387</xdr:rowOff>
    </xdr:from>
    <xdr:to>
      <xdr:col>11</xdr:col>
      <xdr:colOff>19050</xdr:colOff>
      <xdr:row>9</xdr:row>
      <xdr:rowOff>161924</xdr:rowOff>
    </xdr:to>
    <xdr:grpSp>
      <xdr:nvGrpSpPr>
        <xdr:cNvPr id="15" name="Group 14">
          <a:extLst>
            <a:ext uri="{FF2B5EF4-FFF2-40B4-BE49-F238E27FC236}">
              <a16:creationId xmlns:a16="http://schemas.microsoft.com/office/drawing/2014/main" id="{0D1DDAFC-3CF4-4BB6-A2DE-31FAE9C82C33}"/>
            </a:ext>
          </a:extLst>
        </xdr:cNvPr>
        <xdr:cNvGrpSpPr/>
      </xdr:nvGrpSpPr>
      <xdr:grpSpPr>
        <a:xfrm>
          <a:off x="5961698" y="1164907"/>
          <a:ext cx="168592" cy="467677"/>
          <a:chOff x="6719888" y="876301"/>
          <a:chExt cx="171450" cy="447674"/>
        </a:xfrm>
      </xdr:grpSpPr>
      <xdr:cxnSp macro="">
        <xdr:nvCxnSpPr>
          <xdr:cNvPr id="16" name="Straight Arrow Connector 15">
            <a:extLst>
              <a:ext uri="{FF2B5EF4-FFF2-40B4-BE49-F238E27FC236}">
                <a16:creationId xmlns:a16="http://schemas.microsoft.com/office/drawing/2014/main" id="{E4CCBC90-6122-47C3-AFF6-DAA07E811B99}"/>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EB621D9D-D538-4327-AC1A-79EF0824AF32}"/>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33338</xdr:colOff>
      <xdr:row>2</xdr:row>
      <xdr:rowOff>152401</xdr:rowOff>
    </xdr:from>
    <xdr:to>
      <xdr:col>17</xdr:col>
      <xdr:colOff>19050</xdr:colOff>
      <xdr:row>5</xdr:row>
      <xdr:rowOff>100012</xdr:rowOff>
    </xdr:to>
    <xdr:grpSp>
      <xdr:nvGrpSpPr>
        <xdr:cNvPr id="18" name="Group 17">
          <a:extLst>
            <a:ext uri="{FF2B5EF4-FFF2-40B4-BE49-F238E27FC236}">
              <a16:creationId xmlns:a16="http://schemas.microsoft.com/office/drawing/2014/main" id="{F35643A6-3E1C-41C4-8559-4AD39A711299}"/>
            </a:ext>
          </a:extLst>
        </xdr:cNvPr>
        <xdr:cNvGrpSpPr/>
      </xdr:nvGrpSpPr>
      <xdr:grpSpPr>
        <a:xfrm>
          <a:off x="8095298" y="388621"/>
          <a:ext cx="168592" cy="473391"/>
          <a:chOff x="6719888" y="876301"/>
          <a:chExt cx="171450" cy="447674"/>
        </a:xfrm>
      </xdr:grpSpPr>
      <xdr:cxnSp macro="">
        <xdr:nvCxnSpPr>
          <xdr:cNvPr id="19" name="Straight Arrow Connector 18">
            <a:extLst>
              <a:ext uri="{FF2B5EF4-FFF2-40B4-BE49-F238E27FC236}">
                <a16:creationId xmlns:a16="http://schemas.microsoft.com/office/drawing/2014/main" id="{A0E7D9EC-7B39-46AA-9077-B90CCFEA97C1}"/>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408D237A-04B1-4070-928A-A7148DD15104}"/>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19051</xdr:colOff>
      <xdr:row>7</xdr:row>
      <xdr:rowOff>14287</xdr:rowOff>
    </xdr:from>
    <xdr:to>
      <xdr:col>17</xdr:col>
      <xdr:colOff>14288</xdr:colOff>
      <xdr:row>9</xdr:row>
      <xdr:rowOff>128586</xdr:rowOff>
    </xdr:to>
    <xdr:grpSp>
      <xdr:nvGrpSpPr>
        <xdr:cNvPr id="21" name="Group 20">
          <a:extLst>
            <a:ext uri="{FF2B5EF4-FFF2-40B4-BE49-F238E27FC236}">
              <a16:creationId xmlns:a16="http://schemas.microsoft.com/office/drawing/2014/main" id="{34BB8364-4FAC-488A-BE04-00DDE1E21D9B}"/>
            </a:ext>
          </a:extLst>
        </xdr:cNvPr>
        <xdr:cNvGrpSpPr/>
      </xdr:nvGrpSpPr>
      <xdr:grpSpPr>
        <a:xfrm>
          <a:off x="8081011" y="1126807"/>
          <a:ext cx="178117" cy="472439"/>
          <a:chOff x="6719888" y="876301"/>
          <a:chExt cx="171450" cy="447674"/>
        </a:xfrm>
      </xdr:grpSpPr>
      <xdr:cxnSp macro="">
        <xdr:nvCxnSpPr>
          <xdr:cNvPr id="22" name="Straight Arrow Connector 21">
            <a:extLst>
              <a:ext uri="{FF2B5EF4-FFF2-40B4-BE49-F238E27FC236}">
                <a16:creationId xmlns:a16="http://schemas.microsoft.com/office/drawing/2014/main" id="{7DD32D3D-57E4-4275-BF01-F93A472011A5}"/>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Straight Arrow Connector 22">
            <a:extLst>
              <a:ext uri="{FF2B5EF4-FFF2-40B4-BE49-F238E27FC236}">
                <a16:creationId xmlns:a16="http://schemas.microsoft.com/office/drawing/2014/main" id="{06E2C454-47E7-43A4-89F2-149EEAEDD54E}"/>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22</xdr:col>
      <xdr:colOff>19050</xdr:colOff>
      <xdr:row>3</xdr:row>
      <xdr:rowOff>19050</xdr:rowOff>
    </xdr:from>
    <xdr:to>
      <xdr:col>23</xdr:col>
      <xdr:colOff>71437</xdr:colOff>
      <xdr:row>5</xdr:row>
      <xdr:rowOff>133349</xdr:rowOff>
    </xdr:to>
    <xdr:grpSp>
      <xdr:nvGrpSpPr>
        <xdr:cNvPr id="24" name="Group 23">
          <a:extLst>
            <a:ext uri="{FF2B5EF4-FFF2-40B4-BE49-F238E27FC236}">
              <a16:creationId xmlns:a16="http://schemas.microsoft.com/office/drawing/2014/main" id="{1EEA5C21-B9CC-4FBD-93D9-B39AB04D3317}"/>
            </a:ext>
          </a:extLst>
        </xdr:cNvPr>
        <xdr:cNvGrpSpPr/>
      </xdr:nvGrpSpPr>
      <xdr:grpSpPr>
        <a:xfrm>
          <a:off x="10138410" y="430530"/>
          <a:ext cx="166687" cy="464819"/>
          <a:chOff x="6719888" y="876301"/>
          <a:chExt cx="171450" cy="447674"/>
        </a:xfrm>
      </xdr:grpSpPr>
      <xdr:cxnSp macro="">
        <xdr:nvCxnSpPr>
          <xdr:cNvPr id="25" name="Straight Arrow Connector 24">
            <a:extLst>
              <a:ext uri="{FF2B5EF4-FFF2-40B4-BE49-F238E27FC236}">
                <a16:creationId xmlns:a16="http://schemas.microsoft.com/office/drawing/2014/main" id="{970E4A93-398F-4E9C-844B-2E27B77A3B05}"/>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6" name="Straight Arrow Connector 25">
            <a:extLst>
              <a:ext uri="{FF2B5EF4-FFF2-40B4-BE49-F238E27FC236}">
                <a16:creationId xmlns:a16="http://schemas.microsoft.com/office/drawing/2014/main" id="{233FE46D-17AB-4665-B153-47135CFD7C92}"/>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22</xdr:col>
      <xdr:colOff>0</xdr:colOff>
      <xdr:row>7</xdr:row>
      <xdr:rowOff>76200</xdr:rowOff>
    </xdr:from>
    <xdr:to>
      <xdr:col>23</xdr:col>
      <xdr:colOff>52387</xdr:colOff>
      <xdr:row>10</xdr:row>
      <xdr:rowOff>19049</xdr:rowOff>
    </xdr:to>
    <xdr:grpSp>
      <xdr:nvGrpSpPr>
        <xdr:cNvPr id="27" name="Group 26">
          <a:extLst>
            <a:ext uri="{FF2B5EF4-FFF2-40B4-BE49-F238E27FC236}">
              <a16:creationId xmlns:a16="http://schemas.microsoft.com/office/drawing/2014/main" id="{BCF649D2-2D7F-4626-B648-B894E557D4D7}"/>
            </a:ext>
          </a:extLst>
        </xdr:cNvPr>
        <xdr:cNvGrpSpPr/>
      </xdr:nvGrpSpPr>
      <xdr:grpSpPr>
        <a:xfrm>
          <a:off x="10119360" y="1188720"/>
          <a:ext cx="166687" cy="476249"/>
          <a:chOff x="6719888" y="876301"/>
          <a:chExt cx="171450" cy="447674"/>
        </a:xfrm>
      </xdr:grpSpPr>
      <xdr:cxnSp macro="">
        <xdr:nvCxnSpPr>
          <xdr:cNvPr id="28" name="Straight Arrow Connector 27">
            <a:extLst>
              <a:ext uri="{FF2B5EF4-FFF2-40B4-BE49-F238E27FC236}">
                <a16:creationId xmlns:a16="http://schemas.microsoft.com/office/drawing/2014/main" id="{66416A71-09BA-4221-B888-B5A09A41B0B9}"/>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333D4152-BDF8-4BD2-9527-1BAF331B310C}"/>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14288</xdr:colOff>
      <xdr:row>8</xdr:row>
      <xdr:rowOff>42863</xdr:rowOff>
    </xdr:from>
    <xdr:to>
      <xdr:col>8</xdr:col>
      <xdr:colOff>0</xdr:colOff>
      <xdr:row>10</xdr:row>
      <xdr:rowOff>157162</xdr:rowOff>
    </xdr:to>
    <xdr:grpSp>
      <xdr:nvGrpSpPr>
        <xdr:cNvPr id="2" name="Group 1">
          <a:extLst>
            <a:ext uri="{FF2B5EF4-FFF2-40B4-BE49-F238E27FC236}">
              <a16:creationId xmlns:a16="http://schemas.microsoft.com/office/drawing/2014/main" id="{60A00F8B-A126-4EF1-8999-CEB8AFBE7AFB}"/>
            </a:ext>
          </a:extLst>
        </xdr:cNvPr>
        <xdr:cNvGrpSpPr/>
      </xdr:nvGrpSpPr>
      <xdr:grpSpPr>
        <a:xfrm>
          <a:off x="4708208" y="1338263"/>
          <a:ext cx="168592" cy="464819"/>
          <a:chOff x="6719888" y="876301"/>
          <a:chExt cx="171450" cy="447674"/>
        </a:xfrm>
      </xdr:grpSpPr>
      <xdr:cxnSp macro="">
        <xdr:nvCxnSpPr>
          <xdr:cNvPr id="3" name="Straight Arrow Connector 2">
            <a:extLst>
              <a:ext uri="{FF2B5EF4-FFF2-40B4-BE49-F238E27FC236}">
                <a16:creationId xmlns:a16="http://schemas.microsoft.com/office/drawing/2014/main" id="{1F7DBDBF-E328-4D0A-9F1A-8F5379E239F3}"/>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3">
            <a:extLst>
              <a:ext uri="{FF2B5EF4-FFF2-40B4-BE49-F238E27FC236}">
                <a16:creationId xmlns:a16="http://schemas.microsoft.com/office/drawing/2014/main" id="{6CD3FA7F-8BF1-4F7F-953A-E022EB3A848D}"/>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19051</xdr:colOff>
      <xdr:row>8</xdr:row>
      <xdr:rowOff>14287</xdr:rowOff>
    </xdr:from>
    <xdr:to>
      <xdr:col>17</xdr:col>
      <xdr:colOff>14288</xdr:colOff>
      <xdr:row>10</xdr:row>
      <xdr:rowOff>128586</xdr:rowOff>
    </xdr:to>
    <xdr:grpSp>
      <xdr:nvGrpSpPr>
        <xdr:cNvPr id="5" name="Group 4">
          <a:extLst>
            <a:ext uri="{FF2B5EF4-FFF2-40B4-BE49-F238E27FC236}">
              <a16:creationId xmlns:a16="http://schemas.microsoft.com/office/drawing/2014/main" id="{1F2F36F7-BB2A-45BA-9F77-749A0A5631E4}"/>
            </a:ext>
          </a:extLst>
        </xdr:cNvPr>
        <xdr:cNvGrpSpPr/>
      </xdr:nvGrpSpPr>
      <xdr:grpSpPr>
        <a:xfrm>
          <a:off x="8012431" y="1309687"/>
          <a:ext cx="178117" cy="464819"/>
          <a:chOff x="6719888" y="876301"/>
          <a:chExt cx="171450" cy="447674"/>
        </a:xfrm>
      </xdr:grpSpPr>
      <xdr:cxnSp macro="">
        <xdr:nvCxnSpPr>
          <xdr:cNvPr id="6" name="Straight Arrow Connector 5">
            <a:extLst>
              <a:ext uri="{FF2B5EF4-FFF2-40B4-BE49-F238E27FC236}">
                <a16:creationId xmlns:a16="http://schemas.microsoft.com/office/drawing/2014/main" id="{55B9ABC4-61F3-44DE-A2F9-8FC2C61AC636}"/>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863AC83A-DD66-45C5-BEB0-A9628E8A8EBF}"/>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24</xdr:col>
      <xdr:colOff>9526</xdr:colOff>
      <xdr:row>8</xdr:row>
      <xdr:rowOff>57150</xdr:rowOff>
    </xdr:from>
    <xdr:to>
      <xdr:col>24</xdr:col>
      <xdr:colOff>166688</xdr:colOff>
      <xdr:row>11</xdr:row>
      <xdr:rowOff>4762</xdr:rowOff>
    </xdr:to>
    <xdr:grpSp>
      <xdr:nvGrpSpPr>
        <xdr:cNvPr id="8" name="Group 7">
          <a:extLst>
            <a:ext uri="{FF2B5EF4-FFF2-40B4-BE49-F238E27FC236}">
              <a16:creationId xmlns:a16="http://schemas.microsoft.com/office/drawing/2014/main" id="{7B96A570-1E28-44C0-8EA0-2DF31BB9EF3B}"/>
            </a:ext>
          </a:extLst>
        </xdr:cNvPr>
        <xdr:cNvGrpSpPr/>
      </xdr:nvGrpSpPr>
      <xdr:grpSpPr>
        <a:xfrm>
          <a:off x="10768966" y="1352550"/>
          <a:ext cx="157162" cy="481012"/>
          <a:chOff x="6719888" y="876301"/>
          <a:chExt cx="171450" cy="447674"/>
        </a:xfrm>
      </xdr:grpSpPr>
      <xdr:cxnSp macro="">
        <xdr:nvCxnSpPr>
          <xdr:cNvPr id="9" name="Straight Arrow Connector 8">
            <a:extLst>
              <a:ext uri="{FF2B5EF4-FFF2-40B4-BE49-F238E27FC236}">
                <a16:creationId xmlns:a16="http://schemas.microsoft.com/office/drawing/2014/main" id="{2F0246EC-B362-401A-90C6-236D0D107061}"/>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1F00103B-A41E-4D6E-90A0-36C4F2A930E0}"/>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33338</xdr:colOff>
      <xdr:row>10</xdr:row>
      <xdr:rowOff>52387</xdr:rowOff>
    </xdr:from>
    <xdr:to>
      <xdr:col>11</xdr:col>
      <xdr:colOff>19050</xdr:colOff>
      <xdr:row>12</xdr:row>
      <xdr:rowOff>161924</xdr:rowOff>
    </xdr:to>
    <xdr:grpSp>
      <xdr:nvGrpSpPr>
        <xdr:cNvPr id="11" name="Group 10">
          <a:extLst>
            <a:ext uri="{FF2B5EF4-FFF2-40B4-BE49-F238E27FC236}">
              <a16:creationId xmlns:a16="http://schemas.microsoft.com/office/drawing/2014/main" id="{AE9CEB10-92D6-4187-98FC-FD9CE70B8181}"/>
            </a:ext>
          </a:extLst>
        </xdr:cNvPr>
        <xdr:cNvGrpSpPr/>
      </xdr:nvGrpSpPr>
      <xdr:grpSpPr>
        <a:xfrm>
          <a:off x="5961698" y="1698307"/>
          <a:ext cx="168592" cy="467677"/>
          <a:chOff x="6719888" y="876301"/>
          <a:chExt cx="171450" cy="447674"/>
        </a:xfrm>
      </xdr:grpSpPr>
      <xdr:cxnSp macro="">
        <xdr:nvCxnSpPr>
          <xdr:cNvPr id="12" name="Straight Arrow Connector 11">
            <a:extLst>
              <a:ext uri="{FF2B5EF4-FFF2-40B4-BE49-F238E27FC236}">
                <a16:creationId xmlns:a16="http://schemas.microsoft.com/office/drawing/2014/main" id="{DDA08FCD-2ABC-40E8-8672-8F22AB9478BB}"/>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Straight Arrow Connector 12">
            <a:extLst>
              <a:ext uri="{FF2B5EF4-FFF2-40B4-BE49-F238E27FC236}">
                <a16:creationId xmlns:a16="http://schemas.microsoft.com/office/drawing/2014/main" id="{B98C5E5A-5803-4AA1-893C-800D3C049F45}"/>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33338</xdr:colOff>
      <xdr:row>4</xdr:row>
      <xdr:rowOff>152401</xdr:rowOff>
    </xdr:from>
    <xdr:to>
      <xdr:col>19</xdr:col>
      <xdr:colOff>19050</xdr:colOff>
      <xdr:row>8</xdr:row>
      <xdr:rowOff>100012</xdr:rowOff>
    </xdr:to>
    <xdr:grpSp>
      <xdr:nvGrpSpPr>
        <xdr:cNvPr id="14" name="Group 13">
          <a:extLst>
            <a:ext uri="{FF2B5EF4-FFF2-40B4-BE49-F238E27FC236}">
              <a16:creationId xmlns:a16="http://schemas.microsoft.com/office/drawing/2014/main" id="{1535401D-702D-4EEF-A852-A0AFAA60CD3B}"/>
            </a:ext>
          </a:extLst>
        </xdr:cNvPr>
        <xdr:cNvGrpSpPr/>
      </xdr:nvGrpSpPr>
      <xdr:grpSpPr>
        <a:xfrm>
          <a:off x="8735378" y="739141"/>
          <a:ext cx="168592" cy="656271"/>
          <a:chOff x="6719888" y="876301"/>
          <a:chExt cx="171450" cy="447674"/>
        </a:xfrm>
      </xdr:grpSpPr>
      <xdr:cxnSp macro="">
        <xdr:nvCxnSpPr>
          <xdr:cNvPr id="15" name="Straight Arrow Connector 14">
            <a:extLst>
              <a:ext uri="{FF2B5EF4-FFF2-40B4-BE49-F238E27FC236}">
                <a16:creationId xmlns:a16="http://schemas.microsoft.com/office/drawing/2014/main" id="{CA941FD7-0DAF-419E-8FCC-1EF1DAC8AB84}"/>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62D9AB6B-BE44-4AB5-8483-02381B12D906}"/>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19051</xdr:colOff>
      <xdr:row>10</xdr:row>
      <xdr:rowOff>14287</xdr:rowOff>
    </xdr:from>
    <xdr:to>
      <xdr:col>19</xdr:col>
      <xdr:colOff>14288</xdr:colOff>
      <xdr:row>12</xdr:row>
      <xdr:rowOff>128586</xdr:rowOff>
    </xdr:to>
    <xdr:grpSp>
      <xdr:nvGrpSpPr>
        <xdr:cNvPr id="17" name="Group 16">
          <a:extLst>
            <a:ext uri="{FF2B5EF4-FFF2-40B4-BE49-F238E27FC236}">
              <a16:creationId xmlns:a16="http://schemas.microsoft.com/office/drawing/2014/main" id="{6C3A8463-B067-4BB8-9956-6960DE3D0DE3}"/>
            </a:ext>
          </a:extLst>
        </xdr:cNvPr>
        <xdr:cNvGrpSpPr/>
      </xdr:nvGrpSpPr>
      <xdr:grpSpPr>
        <a:xfrm>
          <a:off x="8721091" y="1660207"/>
          <a:ext cx="178117" cy="472439"/>
          <a:chOff x="6719888" y="876301"/>
          <a:chExt cx="171450" cy="447674"/>
        </a:xfrm>
      </xdr:grpSpPr>
      <xdr:cxnSp macro="">
        <xdr:nvCxnSpPr>
          <xdr:cNvPr id="18" name="Straight Arrow Connector 17">
            <a:extLst>
              <a:ext uri="{FF2B5EF4-FFF2-40B4-BE49-F238E27FC236}">
                <a16:creationId xmlns:a16="http://schemas.microsoft.com/office/drawing/2014/main" id="{EF8AD38B-39A3-4391-8F28-D00002A98C18}"/>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DDCDD90B-B9F1-4F2C-8B32-42A6BCDD6CC5}"/>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26</xdr:col>
      <xdr:colOff>19050</xdr:colOff>
      <xdr:row>6</xdr:row>
      <xdr:rowOff>19050</xdr:rowOff>
    </xdr:from>
    <xdr:to>
      <xdr:col>27</xdr:col>
      <xdr:colOff>71437</xdr:colOff>
      <xdr:row>8</xdr:row>
      <xdr:rowOff>133349</xdr:rowOff>
    </xdr:to>
    <xdr:grpSp>
      <xdr:nvGrpSpPr>
        <xdr:cNvPr id="20" name="Group 19">
          <a:extLst>
            <a:ext uri="{FF2B5EF4-FFF2-40B4-BE49-F238E27FC236}">
              <a16:creationId xmlns:a16="http://schemas.microsoft.com/office/drawing/2014/main" id="{CCE4559D-2F01-4164-8350-B9104323E3D2}"/>
            </a:ext>
          </a:extLst>
        </xdr:cNvPr>
        <xdr:cNvGrpSpPr/>
      </xdr:nvGrpSpPr>
      <xdr:grpSpPr>
        <a:xfrm>
          <a:off x="11487150" y="956310"/>
          <a:ext cx="166687" cy="472439"/>
          <a:chOff x="6719888" y="876301"/>
          <a:chExt cx="171450" cy="447674"/>
        </a:xfrm>
      </xdr:grpSpPr>
      <xdr:cxnSp macro="">
        <xdr:nvCxnSpPr>
          <xdr:cNvPr id="21" name="Straight Arrow Connector 20">
            <a:extLst>
              <a:ext uri="{FF2B5EF4-FFF2-40B4-BE49-F238E27FC236}">
                <a16:creationId xmlns:a16="http://schemas.microsoft.com/office/drawing/2014/main" id="{FEE29D02-8426-4326-901B-5CEE34094400}"/>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23ECF697-73FD-4055-8925-6237C3EF338E}"/>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26</xdr:col>
      <xdr:colOff>0</xdr:colOff>
      <xdr:row>10</xdr:row>
      <xdr:rowOff>76200</xdr:rowOff>
    </xdr:from>
    <xdr:to>
      <xdr:col>27</xdr:col>
      <xdr:colOff>52387</xdr:colOff>
      <xdr:row>13</xdr:row>
      <xdr:rowOff>19049</xdr:rowOff>
    </xdr:to>
    <xdr:grpSp>
      <xdr:nvGrpSpPr>
        <xdr:cNvPr id="23" name="Group 22">
          <a:extLst>
            <a:ext uri="{FF2B5EF4-FFF2-40B4-BE49-F238E27FC236}">
              <a16:creationId xmlns:a16="http://schemas.microsoft.com/office/drawing/2014/main" id="{B8D58FF9-6E61-47D9-88E9-6C4AC28AA145}"/>
            </a:ext>
          </a:extLst>
        </xdr:cNvPr>
        <xdr:cNvGrpSpPr/>
      </xdr:nvGrpSpPr>
      <xdr:grpSpPr>
        <a:xfrm>
          <a:off x="11468100" y="1722120"/>
          <a:ext cx="166687" cy="476249"/>
          <a:chOff x="6719888" y="876301"/>
          <a:chExt cx="171450" cy="447674"/>
        </a:xfrm>
      </xdr:grpSpPr>
      <xdr:cxnSp macro="">
        <xdr:nvCxnSpPr>
          <xdr:cNvPr id="24" name="Straight Arrow Connector 23">
            <a:extLst>
              <a:ext uri="{FF2B5EF4-FFF2-40B4-BE49-F238E27FC236}">
                <a16:creationId xmlns:a16="http://schemas.microsoft.com/office/drawing/2014/main" id="{74A500D5-DF5B-4293-BA23-D43365D81F17}"/>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Straight Arrow Connector 24">
            <a:extLst>
              <a:ext uri="{FF2B5EF4-FFF2-40B4-BE49-F238E27FC236}">
                <a16:creationId xmlns:a16="http://schemas.microsoft.com/office/drawing/2014/main" id="{AB07AB74-1270-4EE0-A8A0-13DC2FB5C85F}"/>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0</xdr:colOff>
      <xdr:row>5</xdr:row>
      <xdr:rowOff>157162</xdr:rowOff>
    </xdr:from>
    <xdr:to>
      <xdr:col>10</xdr:col>
      <xdr:colOff>161924</xdr:colOff>
      <xdr:row>8</xdr:row>
      <xdr:rowOff>100011</xdr:rowOff>
    </xdr:to>
    <xdr:grpSp>
      <xdr:nvGrpSpPr>
        <xdr:cNvPr id="26" name="Group 25">
          <a:extLst>
            <a:ext uri="{FF2B5EF4-FFF2-40B4-BE49-F238E27FC236}">
              <a16:creationId xmlns:a16="http://schemas.microsoft.com/office/drawing/2014/main" id="{9E725D5D-A246-47D9-B08B-9E8C50B56795}"/>
            </a:ext>
          </a:extLst>
        </xdr:cNvPr>
        <xdr:cNvGrpSpPr/>
      </xdr:nvGrpSpPr>
      <xdr:grpSpPr>
        <a:xfrm>
          <a:off x="5928360" y="919162"/>
          <a:ext cx="161924" cy="476249"/>
          <a:chOff x="6719888" y="876301"/>
          <a:chExt cx="171450" cy="447674"/>
        </a:xfrm>
      </xdr:grpSpPr>
      <xdr:cxnSp macro="">
        <xdr:nvCxnSpPr>
          <xdr:cNvPr id="27" name="Straight Arrow Connector 26">
            <a:extLst>
              <a:ext uri="{FF2B5EF4-FFF2-40B4-BE49-F238E27FC236}">
                <a16:creationId xmlns:a16="http://schemas.microsoft.com/office/drawing/2014/main" id="{122473E1-4C92-43F8-B7CA-7BD071535ED4}"/>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8" name="Straight Arrow Connector 27">
            <a:extLst>
              <a:ext uri="{FF2B5EF4-FFF2-40B4-BE49-F238E27FC236}">
                <a16:creationId xmlns:a16="http://schemas.microsoft.com/office/drawing/2014/main" id="{5318B723-3E52-41D0-9037-3ED23744904C}"/>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576263</xdr:colOff>
      <xdr:row>4</xdr:row>
      <xdr:rowOff>19050</xdr:rowOff>
    </xdr:from>
    <xdr:to>
      <xdr:col>13</xdr:col>
      <xdr:colOff>42862</xdr:colOff>
      <xdr:row>6</xdr:row>
      <xdr:rowOff>133349</xdr:rowOff>
    </xdr:to>
    <xdr:grpSp>
      <xdr:nvGrpSpPr>
        <xdr:cNvPr id="29" name="Group 28">
          <a:extLst>
            <a:ext uri="{FF2B5EF4-FFF2-40B4-BE49-F238E27FC236}">
              <a16:creationId xmlns:a16="http://schemas.microsoft.com/office/drawing/2014/main" id="{627851A4-5FE2-46CD-AF52-52D40D4D1730}"/>
            </a:ext>
          </a:extLst>
        </xdr:cNvPr>
        <xdr:cNvGrpSpPr/>
      </xdr:nvGrpSpPr>
      <xdr:grpSpPr>
        <a:xfrm>
          <a:off x="6687503" y="605790"/>
          <a:ext cx="182879" cy="464819"/>
          <a:chOff x="6719888" y="876301"/>
          <a:chExt cx="171450" cy="447674"/>
        </a:xfrm>
      </xdr:grpSpPr>
      <xdr:cxnSp macro="">
        <xdr:nvCxnSpPr>
          <xdr:cNvPr id="30" name="Straight Arrow Connector 29">
            <a:extLst>
              <a:ext uri="{FF2B5EF4-FFF2-40B4-BE49-F238E27FC236}">
                <a16:creationId xmlns:a16="http://schemas.microsoft.com/office/drawing/2014/main" id="{0E0DB4CA-EE8F-4E9B-B60E-0DCFC83FEA55}"/>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1" name="Straight Arrow Connector 30">
            <a:extLst>
              <a:ext uri="{FF2B5EF4-FFF2-40B4-BE49-F238E27FC236}">
                <a16:creationId xmlns:a16="http://schemas.microsoft.com/office/drawing/2014/main" id="{7EE1DDB0-172A-4BF3-94C6-319754F10A74}"/>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561975</xdr:colOff>
      <xdr:row>12</xdr:row>
      <xdr:rowOff>23813</xdr:rowOff>
    </xdr:from>
    <xdr:to>
      <xdr:col>13</xdr:col>
      <xdr:colOff>28574</xdr:colOff>
      <xdr:row>14</xdr:row>
      <xdr:rowOff>133349</xdr:rowOff>
    </xdr:to>
    <xdr:grpSp>
      <xdr:nvGrpSpPr>
        <xdr:cNvPr id="32" name="Group 31">
          <a:extLst>
            <a:ext uri="{FF2B5EF4-FFF2-40B4-BE49-F238E27FC236}">
              <a16:creationId xmlns:a16="http://schemas.microsoft.com/office/drawing/2014/main" id="{80945979-0E7C-402C-BF23-89C735857207}"/>
            </a:ext>
          </a:extLst>
        </xdr:cNvPr>
        <xdr:cNvGrpSpPr/>
      </xdr:nvGrpSpPr>
      <xdr:grpSpPr>
        <a:xfrm>
          <a:off x="6673215" y="2027873"/>
          <a:ext cx="182879" cy="467676"/>
          <a:chOff x="6719888" y="876301"/>
          <a:chExt cx="171450" cy="447674"/>
        </a:xfrm>
      </xdr:grpSpPr>
      <xdr:cxnSp macro="">
        <xdr:nvCxnSpPr>
          <xdr:cNvPr id="33" name="Straight Arrow Connector 32">
            <a:extLst>
              <a:ext uri="{FF2B5EF4-FFF2-40B4-BE49-F238E27FC236}">
                <a16:creationId xmlns:a16="http://schemas.microsoft.com/office/drawing/2014/main" id="{C42A25F2-54AB-4C4A-8E55-D72B6B6DE88A}"/>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4" name="Straight Arrow Connector 33">
            <a:extLst>
              <a:ext uri="{FF2B5EF4-FFF2-40B4-BE49-F238E27FC236}">
                <a16:creationId xmlns:a16="http://schemas.microsoft.com/office/drawing/2014/main" id="{1BAC6596-78EA-4401-8991-3E1718398164}"/>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581026</xdr:colOff>
      <xdr:row>8</xdr:row>
      <xdr:rowOff>33337</xdr:rowOff>
    </xdr:from>
    <xdr:to>
      <xdr:col>13</xdr:col>
      <xdr:colOff>47625</xdr:colOff>
      <xdr:row>10</xdr:row>
      <xdr:rowOff>147636</xdr:rowOff>
    </xdr:to>
    <xdr:grpSp>
      <xdr:nvGrpSpPr>
        <xdr:cNvPr id="35" name="Group 34">
          <a:extLst>
            <a:ext uri="{FF2B5EF4-FFF2-40B4-BE49-F238E27FC236}">
              <a16:creationId xmlns:a16="http://schemas.microsoft.com/office/drawing/2014/main" id="{8C0B5FF9-8875-44C5-8B4D-EBA1E386DDC2}"/>
            </a:ext>
          </a:extLst>
        </xdr:cNvPr>
        <xdr:cNvGrpSpPr/>
      </xdr:nvGrpSpPr>
      <xdr:grpSpPr>
        <a:xfrm>
          <a:off x="6692266" y="1328737"/>
          <a:ext cx="182879" cy="464819"/>
          <a:chOff x="6719888" y="876301"/>
          <a:chExt cx="171450" cy="447674"/>
        </a:xfrm>
      </xdr:grpSpPr>
      <xdr:cxnSp macro="">
        <xdr:nvCxnSpPr>
          <xdr:cNvPr id="36" name="Straight Arrow Connector 35">
            <a:extLst>
              <a:ext uri="{FF2B5EF4-FFF2-40B4-BE49-F238E27FC236}">
                <a16:creationId xmlns:a16="http://schemas.microsoft.com/office/drawing/2014/main" id="{4039E245-BB0F-41FF-9DA3-C185F353943F}"/>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7" name="Straight Arrow Connector 36">
            <a:extLst>
              <a:ext uri="{FF2B5EF4-FFF2-40B4-BE49-F238E27FC236}">
                <a16:creationId xmlns:a16="http://schemas.microsoft.com/office/drawing/2014/main" id="{EAF27507-142C-46FA-A378-AD3C55EE1B75}"/>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4763</xdr:colOff>
      <xdr:row>3</xdr:row>
      <xdr:rowOff>123825</xdr:rowOff>
    </xdr:from>
    <xdr:to>
      <xdr:col>20</xdr:col>
      <xdr:colOff>166687</xdr:colOff>
      <xdr:row>7</xdr:row>
      <xdr:rowOff>76199</xdr:rowOff>
    </xdr:to>
    <xdr:grpSp>
      <xdr:nvGrpSpPr>
        <xdr:cNvPr id="38" name="Group 37">
          <a:extLst>
            <a:ext uri="{FF2B5EF4-FFF2-40B4-BE49-F238E27FC236}">
              <a16:creationId xmlns:a16="http://schemas.microsoft.com/office/drawing/2014/main" id="{4BE62B31-385F-48BC-9C20-71063BA4F3FA}"/>
            </a:ext>
          </a:extLst>
        </xdr:cNvPr>
        <xdr:cNvGrpSpPr/>
      </xdr:nvGrpSpPr>
      <xdr:grpSpPr>
        <a:xfrm>
          <a:off x="9415463" y="535305"/>
          <a:ext cx="161924" cy="653414"/>
          <a:chOff x="6719888" y="876301"/>
          <a:chExt cx="171450" cy="447674"/>
        </a:xfrm>
      </xdr:grpSpPr>
      <xdr:cxnSp macro="">
        <xdr:nvCxnSpPr>
          <xdr:cNvPr id="39" name="Straight Arrow Connector 38">
            <a:extLst>
              <a:ext uri="{FF2B5EF4-FFF2-40B4-BE49-F238E27FC236}">
                <a16:creationId xmlns:a16="http://schemas.microsoft.com/office/drawing/2014/main" id="{51A9E96F-8998-4EA5-A594-18114FBA9B2B}"/>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0" name="Straight Arrow Connector 39">
            <a:extLst>
              <a:ext uri="{FF2B5EF4-FFF2-40B4-BE49-F238E27FC236}">
                <a16:creationId xmlns:a16="http://schemas.microsoft.com/office/drawing/2014/main" id="{9DEB4C90-F361-45CE-B162-E20CB976C39D}"/>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23812</xdr:colOff>
      <xdr:row>7</xdr:row>
      <xdr:rowOff>114300</xdr:rowOff>
    </xdr:from>
    <xdr:to>
      <xdr:col>21</xdr:col>
      <xdr:colOff>9524</xdr:colOff>
      <xdr:row>11</xdr:row>
      <xdr:rowOff>57149</xdr:rowOff>
    </xdr:to>
    <xdr:grpSp>
      <xdr:nvGrpSpPr>
        <xdr:cNvPr id="41" name="Group 40">
          <a:extLst>
            <a:ext uri="{FF2B5EF4-FFF2-40B4-BE49-F238E27FC236}">
              <a16:creationId xmlns:a16="http://schemas.microsoft.com/office/drawing/2014/main" id="{9CA1BEB6-06FC-4D87-9E5F-498CBE43BED9}"/>
            </a:ext>
          </a:extLst>
        </xdr:cNvPr>
        <xdr:cNvGrpSpPr/>
      </xdr:nvGrpSpPr>
      <xdr:grpSpPr>
        <a:xfrm>
          <a:off x="9434512" y="1226820"/>
          <a:ext cx="168592" cy="659129"/>
          <a:chOff x="6719888" y="876301"/>
          <a:chExt cx="171450" cy="447674"/>
        </a:xfrm>
      </xdr:grpSpPr>
      <xdr:cxnSp macro="">
        <xdr:nvCxnSpPr>
          <xdr:cNvPr id="42" name="Straight Arrow Connector 41">
            <a:extLst>
              <a:ext uri="{FF2B5EF4-FFF2-40B4-BE49-F238E27FC236}">
                <a16:creationId xmlns:a16="http://schemas.microsoft.com/office/drawing/2014/main" id="{7B1331AD-E433-4626-A581-F3F8D1451787}"/>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Straight Arrow Connector 42">
            <a:extLst>
              <a:ext uri="{FF2B5EF4-FFF2-40B4-BE49-F238E27FC236}">
                <a16:creationId xmlns:a16="http://schemas.microsoft.com/office/drawing/2014/main" id="{C9DCADA0-A241-4B25-8298-438A6C4D012F}"/>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9525</xdr:colOff>
      <xdr:row>11</xdr:row>
      <xdr:rowOff>157163</xdr:rowOff>
    </xdr:from>
    <xdr:to>
      <xdr:col>20</xdr:col>
      <xdr:colOff>171449</xdr:colOff>
      <xdr:row>15</xdr:row>
      <xdr:rowOff>104775</xdr:rowOff>
    </xdr:to>
    <xdr:grpSp>
      <xdr:nvGrpSpPr>
        <xdr:cNvPr id="44" name="Group 43">
          <a:extLst>
            <a:ext uri="{FF2B5EF4-FFF2-40B4-BE49-F238E27FC236}">
              <a16:creationId xmlns:a16="http://schemas.microsoft.com/office/drawing/2014/main" id="{80A17DB3-7100-4794-80C4-917F5D7FB021}"/>
            </a:ext>
          </a:extLst>
        </xdr:cNvPr>
        <xdr:cNvGrpSpPr/>
      </xdr:nvGrpSpPr>
      <xdr:grpSpPr>
        <a:xfrm>
          <a:off x="9420225" y="1985963"/>
          <a:ext cx="161924" cy="656272"/>
          <a:chOff x="6719888" y="876301"/>
          <a:chExt cx="171450" cy="447674"/>
        </a:xfrm>
      </xdr:grpSpPr>
      <xdr:cxnSp macro="">
        <xdr:nvCxnSpPr>
          <xdr:cNvPr id="45" name="Straight Arrow Connector 44">
            <a:extLst>
              <a:ext uri="{FF2B5EF4-FFF2-40B4-BE49-F238E27FC236}">
                <a16:creationId xmlns:a16="http://schemas.microsoft.com/office/drawing/2014/main" id="{7DA72779-28CB-4C0C-B388-88CF2BF102A0}"/>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6" name="Straight Arrow Connector 45">
            <a:extLst>
              <a:ext uri="{FF2B5EF4-FFF2-40B4-BE49-F238E27FC236}">
                <a16:creationId xmlns:a16="http://schemas.microsoft.com/office/drawing/2014/main" id="{4E12051D-2D6B-4911-95FA-980579EA05DE}"/>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28</xdr:col>
      <xdr:colOff>19050</xdr:colOff>
      <xdr:row>4</xdr:row>
      <xdr:rowOff>19050</xdr:rowOff>
    </xdr:from>
    <xdr:to>
      <xdr:col>29</xdr:col>
      <xdr:colOff>71437</xdr:colOff>
      <xdr:row>6</xdr:row>
      <xdr:rowOff>133349</xdr:rowOff>
    </xdr:to>
    <xdr:grpSp>
      <xdr:nvGrpSpPr>
        <xdr:cNvPr id="47" name="Group 46">
          <a:extLst>
            <a:ext uri="{FF2B5EF4-FFF2-40B4-BE49-F238E27FC236}">
              <a16:creationId xmlns:a16="http://schemas.microsoft.com/office/drawing/2014/main" id="{8A1ABEDB-7182-47C2-9C51-8B378443A2E1}"/>
            </a:ext>
          </a:extLst>
        </xdr:cNvPr>
        <xdr:cNvGrpSpPr/>
      </xdr:nvGrpSpPr>
      <xdr:grpSpPr>
        <a:xfrm>
          <a:off x="12127230" y="605790"/>
          <a:ext cx="235267" cy="464819"/>
          <a:chOff x="6719888" y="876301"/>
          <a:chExt cx="171450" cy="447674"/>
        </a:xfrm>
      </xdr:grpSpPr>
      <xdr:cxnSp macro="">
        <xdr:nvCxnSpPr>
          <xdr:cNvPr id="48" name="Straight Arrow Connector 47">
            <a:extLst>
              <a:ext uri="{FF2B5EF4-FFF2-40B4-BE49-F238E27FC236}">
                <a16:creationId xmlns:a16="http://schemas.microsoft.com/office/drawing/2014/main" id="{143CDDFF-7F6A-4309-AC66-5C66792A8DA2}"/>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9" name="Straight Arrow Connector 48">
            <a:extLst>
              <a:ext uri="{FF2B5EF4-FFF2-40B4-BE49-F238E27FC236}">
                <a16:creationId xmlns:a16="http://schemas.microsoft.com/office/drawing/2014/main" id="{549E52CE-DEDC-4B01-82EF-2E6053314E02}"/>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28</xdr:col>
      <xdr:colOff>19050</xdr:colOff>
      <xdr:row>8</xdr:row>
      <xdr:rowOff>19050</xdr:rowOff>
    </xdr:from>
    <xdr:to>
      <xdr:col>29</xdr:col>
      <xdr:colOff>71437</xdr:colOff>
      <xdr:row>10</xdr:row>
      <xdr:rowOff>133349</xdr:rowOff>
    </xdr:to>
    <xdr:grpSp>
      <xdr:nvGrpSpPr>
        <xdr:cNvPr id="50" name="Group 49">
          <a:extLst>
            <a:ext uri="{FF2B5EF4-FFF2-40B4-BE49-F238E27FC236}">
              <a16:creationId xmlns:a16="http://schemas.microsoft.com/office/drawing/2014/main" id="{566577B7-FFEF-45EB-85CF-3839D7A4E81B}"/>
            </a:ext>
          </a:extLst>
        </xdr:cNvPr>
        <xdr:cNvGrpSpPr/>
      </xdr:nvGrpSpPr>
      <xdr:grpSpPr>
        <a:xfrm>
          <a:off x="12127230" y="1314450"/>
          <a:ext cx="235267" cy="464819"/>
          <a:chOff x="6719888" y="876301"/>
          <a:chExt cx="171450" cy="447674"/>
        </a:xfrm>
      </xdr:grpSpPr>
      <xdr:cxnSp macro="">
        <xdr:nvCxnSpPr>
          <xdr:cNvPr id="51" name="Straight Arrow Connector 50">
            <a:extLst>
              <a:ext uri="{FF2B5EF4-FFF2-40B4-BE49-F238E27FC236}">
                <a16:creationId xmlns:a16="http://schemas.microsoft.com/office/drawing/2014/main" id="{2005054D-3699-4889-A604-11BC3CD97698}"/>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2" name="Straight Arrow Connector 51">
            <a:extLst>
              <a:ext uri="{FF2B5EF4-FFF2-40B4-BE49-F238E27FC236}">
                <a16:creationId xmlns:a16="http://schemas.microsoft.com/office/drawing/2014/main" id="{D74A6F57-B230-42DD-BFFA-FF6091BA287D}"/>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28</xdr:col>
      <xdr:colOff>19050</xdr:colOff>
      <xdr:row>12</xdr:row>
      <xdr:rowOff>19050</xdr:rowOff>
    </xdr:from>
    <xdr:to>
      <xdr:col>29</xdr:col>
      <xdr:colOff>71437</xdr:colOff>
      <xdr:row>14</xdr:row>
      <xdr:rowOff>133349</xdr:rowOff>
    </xdr:to>
    <xdr:grpSp>
      <xdr:nvGrpSpPr>
        <xdr:cNvPr id="53" name="Group 52">
          <a:extLst>
            <a:ext uri="{FF2B5EF4-FFF2-40B4-BE49-F238E27FC236}">
              <a16:creationId xmlns:a16="http://schemas.microsoft.com/office/drawing/2014/main" id="{ECA507FD-F5FF-4D28-BFD1-D1939BA76C7B}"/>
            </a:ext>
          </a:extLst>
        </xdr:cNvPr>
        <xdr:cNvGrpSpPr/>
      </xdr:nvGrpSpPr>
      <xdr:grpSpPr>
        <a:xfrm>
          <a:off x="12127230" y="2023110"/>
          <a:ext cx="235267" cy="472439"/>
          <a:chOff x="6719888" y="876301"/>
          <a:chExt cx="171450" cy="447674"/>
        </a:xfrm>
      </xdr:grpSpPr>
      <xdr:cxnSp macro="">
        <xdr:nvCxnSpPr>
          <xdr:cNvPr id="54" name="Straight Arrow Connector 53">
            <a:extLst>
              <a:ext uri="{FF2B5EF4-FFF2-40B4-BE49-F238E27FC236}">
                <a16:creationId xmlns:a16="http://schemas.microsoft.com/office/drawing/2014/main" id="{16994FD8-15A2-4CA2-99F3-663E6B9F5970}"/>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9B534F8D-20BD-4410-8875-BC1B9BF325D7}"/>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236220</xdr:colOff>
      <xdr:row>2</xdr:row>
      <xdr:rowOff>91440</xdr:rowOff>
    </xdr:from>
    <xdr:to>
      <xdr:col>15</xdr:col>
      <xdr:colOff>160609</xdr:colOff>
      <xdr:row>13</xdr:row>
      <xdr:rowOff>45883</xdr:rowOff>
    </xdr:to>
    <xdr:pic>
      <xdr:nvPicPr>
        <xdr:cNvPr id="2" name="Picture 1">
          <a:extLst>
            <a:ext uri="{FF2B5EF4-FFF2-40B4-BE49-F238E27FC236}">
              <a16:creationId xmlns:a16="http://schemas.microsoft.com/office/drawing/2014/main" id="{39A2C7A2-5839-4FE3-B943-1C4ABE727BDC}"/>
            </a:ext>
          </a:extLst>
        </xdr:cNvPr>
        <xdr:cNvPicPr>
          <a:picLocks noChangeAspect="1"/>
        </xdr:cNvPicPr>
      </xdr:nvPicPr>
      <xdr:blipFill>
        <a:blip xmlns:r="http://schemas.openxmlformats.org/officeDocument/2006/relationships" r:embed="rId1"/>
        <a:stretch>
          <a:fillRect/>
        </a:stretch>
      </xdr:blipFill>
      <xdr:spPr>
        <a:xfrm>
          <a:off x="5219700" y="441960"/>
          <a:ext cx="6797629" cy="188230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266700</xdr:colOff>
      <xdr:row>2</xdr:row>
      <xdr:rowOff>7620</xdr:rowOff>
    </xdr:from>
    <xdr:to>
      <xdr:col>17</xdr:col>
      <xdr:colOff>427203</xdr:colOff>
      <xdr:row>20</xdr:row>
      <xdr:rowOff>141255</xdr:rowOff>
    </xdr:to>
    <xdr:pic>
      <xdr:nvPicPr>
        <xdr:cNvPr id="2" name="Picture 1">
          <a:extLst>
            <a:ext uri="{FF2B5EF4-FFF2-40B4-BE49-F238E27FC236}">
              <a16:creationId xmlns:a16="http://schemas.microsoft.com/office/drawing/2014/main" id="{87CC2A38-47F9-4E4F-8C41-4C735B26EFCD}"/>
            </a:ext>
          </a:extLst>
        </xdr:cNvPr>
        <xdr:cNvPicPr>
          <a:picLocks noChangeAspect="1"/>
        </xdr:cNvPicPr>
      </xdr:nvPicPr>
      <xdr:blipFill>
        <a:blip xmlns:r="http://schemas.openxmlformats.org/officeDocument/2006/relationships" r:embed="rId1"/>
        <a:stretch>
          <a:fillRect/>
        </a:stretch>
      </xdr:blipFill>
      <xdr:spPr>
        <a:xfrm>
          <a:off x="8442960" y="358140"/>
          <a:ext cx="5559273" cy="321973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2529840</xdr:colOff>
      <xdr:row>13</xdr:row>
      <xdr:rowOff>60960</xdr:rowOff>
    </xdr:from>
    <xdr:to>
      <xdr:col>7</xdr:col>
      <xdr:colOff>587338</xdr:colOff>
      <xdr:row>26</xdr:row>
      <xdr:rowOff>192</xdr:rowOff>
    </xdr:to>
    <xdr:pic>
      <xdr:nvPicPr>
        <xdr:cNvPr id="2" name="Picture 1">
          <a:extLst>
            <a:ext uri="{FF2B5EF4-FFF2-40B4-BE49-F238E27FC236}">
              <a16:creationId xmlns:a16="http://schemas.microsoft.com/office/drawing/2014/main" id="{D6976644-970E-0780-DE62-7D3648240532}"/>
            </a:ext>
          </a:extLst>
        </xdr:cNvPr>
        <xdr:cNvPicPr>
          <a:picLocks noChangeAspect="1"/>
        </xdr:cNvPicPr>
      </xdr:nvPicPr>
      <xdr:blipFill>
        <a:blip xmlns:r="http://schemas.openxmlformats.org/officeDocument/2006/relationships" r:embed="rId1"/>
        <a:stretch>
          <a:fillRect/>
        </a:stretch>
      </xdr:blipFill>
      <xdr:spPr>
        <a:xfrm>
          <a:off x="2529840" y="2339340"/>
          <a:ext cx="6896698" cy="221761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579120</xdr:colOff>
      <xdr:row>1</xdr:row>
      <xdr:rowOff>114300</xdr:rowOff>
    </xdr:from>
    <xdr:to>
      <xdr:col>18</xdr:col>
      <xdr:colOff>23446</xdr:colOff>
      <xdr:row>23</xdr:row>
      <xdr:rowOff>15566</xdr:rowOff>
    </xdr:to>
    <xdr:pic>
      <xdr:nvPicPr>
        <xdr:cNvPr id="2" name="Picture 1">
          <a:extLst>
            <a:ext uri="{FF2B5EF4-FFF2-40B4-BE49-F238E27FC236}">
              <a16:creationId xmlns:a16="http://schemas.microsoft.com/office/drawing/2014/main" id="{A46B4CCE-815D-0571-8FE0-0827E0BD31D7}"/>
            </a:ext>
          </a:extLst>
        </xdr:cNvPr>
        <xdr:cNvPicPr>
          <a:picLocks noChangeAspect="1"/>
        </xdr:cNvPicPr>
      </xdr:nvPicPr>
      <xdr:blipFill>
        <a:blip xmlns:r="http://schemas.openxmlformats.org/officeDocument/2006/relationships" r:embed="rId1"/>
        <a:stretch>
          <a:fillRect/>
        </a:stretch>
      </xdr:blipFill>
      <xdr:spPr>
        <a:xfrm>
          <a:off x="5684520" y="289560"/>
          <a:ext cx="6759526" cy="375698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14288</xdr:colOff>
      <xdr:row>5</xdr:row>
      <xdr:rowOff>42863</xdr:rowOff>
    </xdr:from>
    <xdr:to>
      <xdr:col>8</xdr:col>
      <xdr:colOff>0</xdr:colOff>
      <xdr:row>7</xdr:row>
      <xdr:rowOff>157162</xdr:rowOff>
    </xdr:to>
    <xdr:grpSp>
      <xdr:nvGrpSpPr>
        <xdr:cNvPr id="2" name="Group 1">
          <a:extLst>
            <a:ext uri="{FF2B5EF4-FFF2-40B4-BE49-F238E27FC236}">
              <a16:creationId xmlns:a16="http://schemas.microsoft.com/office/drawing/2014/main" id="{289D44A4-58A5-4064-BAF4-6E13B8E33A4B}"/>
            </a:ext>
          </a:extLst>
        </xdr:cNvPr>
        <xdr:cNvGrpSpPr/>
      </xdr:nvGrpSpPr>
      <xdr:grpSpPr>
        <a:xfrm>
          <a:off x="4708208" y="804863"/>
          <a:ext cx="168592" cy="464819"/>
          <a:chOff x="6719888" y="876301"/>
          <a:chExt cx="171450" cy="447674"/>
        </a:xfrm>
      </xdr:grpSpPr>
      <xdr:cxnSp macro="">
        <xdr:nvCxnSpPr>
          <xdr:cNvPr id="3" name="Straight Arrow Connector 2">
            <a:extLst>
              <a:ext uri="{FF2B5EF4-FFF2-40B4-BE49-F238E27FC236}">
                <a16:creationId xmlns:a16="http://schemas.microsoft.com/office/drawing/2014/main" id="{7CEB2A38-2641-AF07-E222-53DB293D639E}"/>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3">
            <a:extLst>
              <a:ext uri="{FF2B5EF4-FFF2-40B4-BE49-F238E27FC236}">
                <a16:creationId xmlns:a16="http://schemas.microsoft.com/office/drawing/2014/main" id="{6EA436D0-98B2-0A21-CAD7-0944220326D6}"/>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19051</xdr:colOff>
      <xdr:row>5</xdr:row>
      <xdr:rowOff>14287</xdr:rowOff>
    </xdr:from>
    <xdr:to>
      <xdr:col>15</xdr:col>
      <xdr:colOff>14288</xdr:colOff>
      <xdr:row>7</xdr:row>
      <xdr:rowOff>128586</xdr:rowOff>
    </xdr:to>
    <xdr:grpSp>
      <xdr:nvGrpSpPr>
        <xdr:cNvPr id="5" name="Group 4">
          <a:extLst>
            <a:ext uri="{FF2B5EF4-FFF2-40B4-BE49-F238E27FC236}">
              <a16:creationId xmlns:a16="http://schemas.microsoft.com/office/drawing/2014/main" id="{23B0A5E2-B529-4739-9C21-335C05DC8A34}"/>
            </a:ext>
          </a:extLst>
        </xdr:cNvPr>
        <xdr:cNvGrpSpPr/>
      </xdr:nvGrpSpPr>
      <xdr:grpSpPr>
        <a:xfrm>
          <a:off x="7372351" y="776287"/>
          <a:ext cx="178117" cy="464819"/>
          <a:chOff x="6719888" y="876301"/>
          <a:chExt cx="171450" cy="447674"/>
        </a:xfrm>
      </xdr:grpSpPr>
      <xdr:cxnSp macro="">
        <xdr:nvCxnSpPr>
          <xdr:cNvPr id="6" name="Straight Arrow Connector 5">
            <a:extLst>
              <a:ext uri="{FF2B5EF4-FFF2-40B4-BE49-F238E27FC236}">
                <a16:creationId xmlns:a16="http://schemas.microsoft.com/office/drawing/2014/main" id="{CAEDB947-0619-42E1-83A3-C3BA48DF4219}"/>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2F98B4E4-0788-6946-6EFE-DFF9EE3CC7DD}"/>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9526</xdr:colOff>
      <xdr:row>5</xdr:row>
      <xdr:rowOff>57150</xdr:rowOff>
    </xdr:from>
    <xdr:to>
      <xdr:col>20</xdr:col>
      <xdr:colOff>166688</xdr:colOff>
      <xdr:row>8</xdr:row>
      <xdr:rowOff>4762</xdr:rowOff>
    </xdr:to>
    <xdr:grpSp>
      <xdr:nvGrpSpPr>
        <xdr:cNvPr id="8" name="Group 7">
          <a:extLst>
            <a:ext uri="{FF2B5EF4-FFF2-40B4-BE49-F238E27FC236}">
              <a16:creationId xmlns:a16="http://schemas.microsoft.com/office/drawing/2014/main" id="{C095D8F8-4F5B-4828-890F-A9BC6BDA81CD}"/>
            </a:ext>
          </a:extLst>
        </xdr:cNvPr>
        <xdr:cNvGrpSpPr/>
      </xdr:nvGrpSpPr>
      <xdr:grpSpPr>
        <a:xfrm>
          <a:off x="9412606" y="819150"/>
          <a:ext cx="157162" cy="481012"/>
          <a:chOff x="6719888" y="876301"/>
          <a:chExt cx="171450" cy="447674"/>
        </a:xfrm>
      </xdr:grpSpPr>
      <xdr:cxnSp macro="">
        <xdr:nvCxnSpPr>
          <xdr:cNvPr id="9" name="Straight Arrow Connector 8">
            <a:extLst>
              <a:ext uri="{FF2B5EF4-FFF2-40B4-BE49-F238E27FC236}">
                <a16:creationId xmlns:a16="http://schemas.microsoft.com/office/drawing/2014/main" id="{E7D7E13E-B20B-D4C4-751C-BD1995962E3F}"/>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D89C8E3F-64D5-C274-12A5-E58B1DAC8026}"/>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19051</xdr:colOff>
      <xdr:row>2</xdr:row>
      <xdr:rowOff>109538</xdr:rowOff>
    </xdr:from>
    <xdr:to>
      <xdr:col>11</xdr:col>
      <xdr:colOff>4763</xdr:colOff>
      <xdr:row>5</xdr:row>
      <xdr:rowOff>57149</xdr:rowOff>
    </xdr:to>
    <xdr:grpSp>
      <xdr:nvGrpSpPr>
        <xdr:cNvPr id="11" name="Group 10">
          <a:extLst>
            <a:ext uri="{FF2B5EF4-FFF2-40B4-BE49-F238E27FC236}">
              <a16:creationId xmlns:a16="http://schemas.microsoft.com/office/drawing/2014/main" id="{79E6D344-4AC3-4307-9339-C1B79D8A7097}"/>
            </a:ext>
          </a:extLst>
        </xdr:cNvPr>
        <xdr:cNvGrpSpPr/>
      </xdr:nvGrpSpPr>
      <xdr:grpSpPr>
        <a:xfrm>
          <a:off x="5947411" y="345758"/>
          <a:ext cx="168592" cy="473391"/>
          <a:chOff x="6719888" y="876301"/>
          <a:chExt cx="171450" cy="447674"/>
        </a:xfrm>
      </xdr:grpSpPr>
      <xdr:cxnSp macro="">
        <xdr:nvCxnSpPr>
          <xdr:cNvPr id="12" name="Straight Arrow Connector 11">
            <a:extLst>
              <a:ext uri="{FF2B5EF4-FFF2-40B4-BE49-F238E27FC236}">
                <a16:creationId xmlns:a16="http://schemas.microsoft.com/office/drawing/2014/main" id="{5A04F58A-0901-2ECD-B6D5-F94B9F5FF8F3}"/>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Straight Arrow Connector 12">
            <a:extLst>
              <a:ext uri="{FF2B5EF4-FFF2-40B4-BE49-F238E27FC236}">
                <a16:creationId xmlns:a16="http://schemas.microsoft.com/office/drawing/2014/main" id="{58253B2A-7A57-FA5A-986E-E7C7ECDE0C5C}"/>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33338</xdr:colOff>
      <xdr:row>7</xdr:row>
      <xdr:rowOff>52387</xdr:rowOff>
    </xdr:from>
    <xdr:to>
      <xdr:col>11</xdr:col>
      <xdr:colOff>19050</xdr:colOff>
      <xdr:row>9</xdr:row>
      <xdr:rowOff>161924</xdr:rowOff>
    </xdr:to>
    <xdr:grpSp>
      <xdr:nvGrpSpPr>
        <xdr:cNvPr id="14" name="Group 13">
          <a:extLst>
            <a:ext uri="{FF2B5EF4-FFF2-40B4-BE49-F238E27FC236}">
              <a16:creationId xmlns:a16="http://schemas.microsoft.com/office/drawing/2014/main" id="{D7900EEC-D60E-4011-8BDC-AA2A5C4ABE3A}"/>
            </a:ext>
          </a:extLst>
        </xdr:cNvPr>
        <xdr:cNvGrpSpPr/>
      </xdr:nvGrpSpPr>
      <xdr:grpSpPr>
        <a:xfrm>
          <a:off x="5961698" y="1164907"/>
          <a:ext cx="168592" cy="467677"/>
          <a:chOff x="6719888" y="876301"/>
          <a:chExt cx="171450" cy="447674"/>
        </a:xfrm>
      </xdr:grpSpPr>
      <xdr:cxnSp macro="">
        <xdr:nvCxnSpPr>
          <xdr:cNvPr id="15" name="Straight Arrow Connector 14">
            <a:extLst>
              <a:ext uri="{FF2B5EF4-FFF2-40B4-BE49-F238E27FC236}">
                <a16:creationId xmlns:a16="http://schemas.microsoft.com/office/drawing/2014/main" id="{4D8CB513-D789-B2AB-03E5-829433AC77FE}"/>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EE1FDB4D-36AB-92E9-00BF-84C2528B2D66}"/>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33338</xdr:colOff>
      <xdr:row>2</xdr:row>
      <xdr:rowOff>152401</xdr:rowOff>
    </xdr:from>
    <xdr:to>
      <xdr:col>17</xdr:col>
      <xdr:colOff>19050</xdr:colOff>
      <xdr:row>5</xdr:row>
      <xdr:rowOff>100012</xdr:rowOff>
    </xdr:to>
    <xdr:grpSp>
      <xdr:nvGrpSpPr>
        <xdr:cNvPr id="17" name="Group 16">
          <a:extLst>
            <a:ext uri="{FF2B5EF4-FFF2-40B4-BE49-F238E27FC236}">
              <a16:creationId xmlns:a16="http://schemas.microsoft.com/office/drawing/2014/main" id="{1EE01A86-429F-4257-8F8B-ECFF040FAD3B}"/>
            </a:ext>
          </a:extLst>
        </xdr:cNvPr>
        <xdr:cNvGrpSpPr/>
      </xdr:nvGrpSpPr>
      <xdr:grpSpPr>
        <a:xfrm>
          <a:off x="8095298" y="388621"/>
          <a:ext cx="160972" cy="473391"/>
          <a:chOff x="6719888" y="876301"/>
          <a:chExt cx="171450" cy="447674"/>
        </a:xfrm>
      </xdr:grpSpPr>
      <xdr:cxnSp macro="">
        <xdr:nvCxnSpPr>
          <xdr:cNvPr id="18" name="Straight Arrow Connector 17">
            <a:extLst>
              <a:ext uri="{FF2B5EF4-FFF2-40B4-BE49-F238E27FC236}">
                <a16:creationId xmlns:a16="http://schemas.microsoft.com/office/drawing/2014/main" id="{ADE93045-D882-B4FD-2867-8D6B954525D2}"/>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3F24EE73-EAD0-83FA-341F-36B85968D9A8}"/>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19051</xdr:colOff>
      <xdr:row>7</xdr:row>
      <xdr:rowOff>14287</xdr:rowOff>
    </xdr:from>
    <xdr:to>
      <xdr:col>17</xdr:col>
      <xdr:colOff>14288</xdr:colOff>
      <xdr:row>9</xdr:row>
      <xdr:rowOff>128586</xdr:rowOff>
    </xdr:to>
    <xdr:grpSp>
      <xdr:nvGrpSpPr>
        <xdr:cNvPr id="20" name="Group 19">
          <a:extLst>
            <a:ext uri="{FF2B5EF4-FFF2-40B4-BE49-F238E27FC236}">
              <a16:creationId xmlns:a16="http://schemas.microsoft.com/office/drawing/2014/main" id="{C9BAA60C-A591-4449-A001-4C34CB1694E6}"/>
            </a:ext>
          </a:extLst>
        </xdr:cNvPr>
        <xdr:cNvGrpSpPr/>
      </xdr:nvGrpSpPr>
      <xdr:grpSpPr>
        <a:xfrm>
          <a:off x="8081011" y="1126807"/>
          <a:ext cx="170497" cy="472439"/>
          <a:chOff x="6719888" y="876301"/>
          <a:chExt cx="171450" cy="447674"/>
        </a:xfrm>
      </xdr:grpSpPr>
      <xdr:cxnSp macro="">
        <xdr:nvCxnSpPr>
          <xdr:cNvPr id="21" name="Straight Arrow Connector 20">
            <a:extLst>
              <a:ext uri="{FF2B5EF4-FFF2-40B4-BE49-F238E27FC236}">
                <a16:creationId xmlns:a16="http://schemas.microsoft.com/office/drawing/2014/main" id="{CF925634-F025-3B21-44E7-2F0C8C134F7C}"/>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87C40172-CE4A-2FA3-6EB7-202E1EB11E45}"/>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22</xdr:col>
      <xdr:colOff>19050</xdr:colOff>
      <xdr:row>3</xdr:row>
      <xdr:rowOff>19050</xdr:rowOff>
    </xdr:from>
    <xdr:to>
      <xdr:col>23</xdr:col>
      <xdr:colOff>71437</xdr:colOff>
      <xdr:row>5</xdr:row>
      <xdr:rowOff>133349</xdr:rowOff>
    </xdr:to>
    <xdr:grpSp>
      <xdr:nvGrpSpPr>
        <xdr:cNvPr id="23" name="Group 22">
          <a:extLst>
            <a:ext uri="{FF2B5EF4-FFF2-40B4-BE49-F238E27FC236}">
              <a16:creationId xmlns:a16="http://schemas.microsoft.com/office/drawing/2014/main" id="{F3361712-8D07-4356-8F46-5667CE73A6FA}"/>
            </a:ext>
          </a:extLst>
        </xdr:cNvPr>
        <xdr:cNvGrpSpPr/>
      </xdr:nvGrpSpPr>
      <xdr:grpSpPr>
        <a:xfrm>
          <a:off x="10130790" y="430530"/>
          <a:ext cx="166687" cy="464819"/>
          <a:chOff x="6719888" y="876301"/>
          <a:chExt cx="171450" cy="447674"/>
        </a:xfrm>
      </xdr:grpSpPr>
      <xdr:cxnSp macro="">
        <xdr:nvCxnSpPr>
          <xdr:cNvPr id="24" name="Straight Arrow Connector 23">
            <a:extLst>
              <a:ext uri="{FF2B5EF4-FFF2-40B4-BE49-F238E27FC236}">
                <a16:creationId xmlns:a16="http://schemas.microsoft.com/office/drawing/2014/main" id="{505D5499-2AB8-D650-66D4-02CC95A5D119}"/>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Straight Arrow Connector 24">
            <a:extLst>
              <a:ext uri="{FF2B5EF4-FFF2-40B4-BE49-F238E27FC236}">
                <a16:creationId xmlns:a16="http://schemas.microsoft.com/office/drawing/2014/main" id="{8F0ABE0D-364D-E09C-1491-652BF9BFD092}"/>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22</xdr:col>
      <xdr:colOff>0</xdr:colOff>
      <xdr:row>7</xdr:row>
      <xdr:rowOff>76200</xdr:rowOff>
    </xdr:from>
    <xdr:to>
      <xdr:col>23</xdr:col>
      <xdr:colOff>52387</xdr:colOff>
      <xdr:row>10</xdr:row>
      <xdr:rowOff>19049</xdr:rowOff>
    </xdr:to>
    <xdr:grpSp>
      <xdr:nvGrpSpPr>
        <xdr:cNvPr id="26" name="Group 25">
          <a:extLst>
            <a:ext uri="{FF2B5EF4-FFF2-40B4-BE49-F238E27FC236}">
              <a16:creationId xmlns:a16="http://schemas.microsoft.com/office/drawing/2014/main" id="{E499F4C7-5349-4CC7-94F8-8960E018AE23}"/>
            </a:ext>
          </a:extLst>
        </xdr:cNvPr>
        <xdr:cNvGrpSpPr/>
      </xdr:nvGrpSpPr>
      <xdr:grpSpPr>
        <a:xfrm>
          <a:off x="10111740" y="1188720"/>
          <a:ext cx="166687" cy="476249"/>
          <a:chOff x="6719888" y="876301"/>
          <a:chExt cx="171450" cy="447674"/>
        </a:xfrm>
      </xdr:grpSpPr>
      <xdr:cxnSp macro="">
        <xdr:nvCxnSpPr>
          <xdr:cNvPr id="27" name="Straight Arrow Connector 26">
            <a:extLst>
              <a:ext uri="{FF2B5EF4-FFF2-40B4-BE49-F238E27FC236}">
                <a16:creationId xmlns:a16="http://schemas.microsoft.com/office/drawing/2014/main" id="{CB198FF1-390E-CF07-2338-20B157CA0C85}"/>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8" name="Straight Arrow Connector 27">
            <a:extLst>
              <a:ext uri="{FF2B5EF4-FFF2-40B4-BE49-F238E27FC236}">
                <a16:creationId xmlns:a16="http://schemas.microsoft.com/office/drawing/2014/main" id="{B4B2B0C2-CCD7-185A-39A6-3DF862E56529}"/>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4</xdr:col>
      <xdr:colOff>304800</xdr:colOff>
      <xdr:row>13</xdr:row>
      <xdr:rowOff>167640</xdr:rowOff>
    </xdr:from>
    <xdr:to>
      <xdr:col>23</xdr:col>
      <xdr:colOff>320622</xdr:colOff>
      <xdr:row>26</xdr:row>
      <xdr:rowOff>184</xdr:rowOff>
    </xdr:to>
    <xdr:pic>
      <xdr:nvPicPr>
        <xdr:cNvPr id="29" name="Picture 28">
          <a:extLst>
            <a:ext uri="{FF2B5EF4-FFF2-40B4-BE49-F238E27FC236}">
              <a16:creationId xmlns:a16="http://schemas.microsoft.com/office/drawing/2014/main" id="{6F199610-F26F-D25D-462E-AFD98060D01A}"/>
            </a:ext>
          </a:extLst>
        </xdr:cNvPr>
        <xdr:cNvPicPr>
          <a:picLocks noChangeAspect="1"/>
        </xdr:cNvPicPr>
      </xdr:nvPicPr>
      <xdr:blipFill>
        <a:blip xmlns:r="http://schemas.openxmlformats.org/officeDocument/2006/relationships" r:embed="rId1"/>
        <a:stretch>
          <a:fillRect/>
        </a:stretch>
      </xdr:blipFill>
      <xdr:spPr>
        <a:xfrm>
          <a:off x="3832860" y="2354580"/>
          <a:ext cx="6713802" cy="211854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14288</xdr:colOff>
      <xdr:row>5</xdr:row>
      <xdr:rowOff>42863</xdr:rowOff>
    </xdr:from>
    <xdr:to>
      <xdr:col>8</xdr:col>
      <xdr:colOff>0</xdr:colOff>
      <xdr:row>7</xdr:row>
      <xdr:rowOff>157162</xdr:rowOff>
    </xdr:to>
    <xdr:grpSp>
      <xdr:nvGrpSpPr>
        <xdr:cNvPr id="2" name="Group 1">
          <a:extLst>
            <a:ext uri="{FF2B5EF4-FFF2-40B4-BE49-F238E27FC236}">
              <a16:creationId xmlns:a16="http://schemas.microsoft.com/office/drawing/2014/main" id="{DAD074C3-E596-41DD-9F20-622647C5237E}"/>
            </a:ext>
          </a:extLst>
        </xdr:cNvPr>
        <xdr:cNvGrpSpPr/>
      </xdr:nvGrpSpPr>
      <xdr:grpSpPr>
        <a:xfrm>
          <a:off x="4708208" y="804863"/>
          <a:ext cx="168592" cy="464819"/>
          <a:chOff x="6719888" y="876301"/>
          <a:chExt cx="171450" cy="447674"/>
        </a:xfrm>
      </xdr:grpSpPr>
      <xdr:cxnSp macro="">
        <xdr:nvCxnSpPr>
          <xdr:cNvPr id="3" name="Straight Arrow Connector 2">
            <a:extLst>
              <a:ext uri="{FF2B5EF4-FFF2-40B4-BE49-F238E27FC236}">
                <a16:creationId xmlns:a16="http://schemas.microsoft.com/office/drawing/2014/main" id="{5B212398-C791-C576-1BE7-BB4F6B60598A}"/>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3">
            <a:extLst>
              <a:ext uri="{FF2B5EF4-FFF2-40B4-BE49-F238E27FC236}">
                <a16:creationId xmlns:a16="http://schemas.microsoft.com/office/drawing/2014/main" id="{A89A0A79-635E-7185-FB9B-0ACEA774B196}"/>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19051</xdr:colOff>
      <xdr:row>5</xdr:row>
      <xdr:rowOff>14287</xdr:rowOff>
    </xdr:from>
    <xdr:to>
      <xdr:col>15</xdr:col>
      <xdr:colOff>14288</xdr:colOff>
      <xdr:row>7</xdr:row>
      <xdr:rowOff>128586</xdr:rowOff>
    </xdr:to>
    <xdr:grpSp>
      <xdr:nvGrpSpPr>
        <xdr:cNvPr id="5" name="Group 4">
          <a:extLst>
            <a:ext uri="{FF2B5EF4-FFF2-40B4-BE49-F238E27FC236}">
              <a16:creationId xmlns:a16="http://schemas.microsoft.com/office/drawing/2014/main" id="{7639263C-6A32-4C10-A45A-27A3D99ADD46}"/>
            </a:ext>
          </a:extLst>
        </xdr:cNvPr>
        <xdr:cNvGrpSpPr/>
      </xdr:nvGrpSpPr>
      <xdr:grpSpPr>
        <a:xfrm>
          <a:off x="7372351" y="776287"/>
          <a:ext cx="178117" cy="464819"/>
          <a:chOff x="6719888" y="876301"/>
          <a:chExt cx="171450" cy="447674"/>
        </a:xfrm>
      </xdr:grpSpPr>
      <xdr:cxnSp macro="">
        <xdr:nvCxnSpPr>
          <xdr:cNvPr id="6" name="Straight Arrow Connector 5">
            <a:extLst>
              <a:ext uri="{FF2B5EF4-FFF2-40B4-BE49-F238E27FC236}">
                <a16:creationId xmlns:a16="http://schemas.microsoft.com/office/drawing/2014/main" id="{704F120D-0114-BD53-1387-FE6D9E46BCE1}"/>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660CC33C-7BE1-1B5F-BA00-FD66F245F8CD}"/>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9526</xdr:colOff>
      <xdr:row>5</xdr:row>
      <xdr:rowOff>57150</xdr:rowOff>
    </xdr:from>
    <xdr:to>
      <xdr:col>20</xdr:col>
      <xdr:colOff>166688</xdr:colOff>
      <xdr:row>8</xdr:row>
      <xdr:rowOff>4762</xdr:rowOff>
    </xdr:to>
    <xdr:grpSp>
      <xdr:nvGrpSpPr>
        <xdr:cNvPr id="8" name="Group 7">
          <a:extLst>
            <a:ext uri="{FF2B5EF4-FFF2-40B4-BE49-F238E27FC236}">
              <a16:creationId xmlns:a16="http://schemas.microsoft.com/office/drawing/2014/main" id="{9DB0FE18-BC0C-4C0D-9E45-82188D796194}"/>
            </a:ext>
          </a:extLst>
        </xdr:cNvPr>
        <xdr:cNvGrpSpPr/>
      </xdr:nvGrpSpPr>
      <xdr:grpSpPr>
        <a:xfrm>
          <a:off x="9420226" y="819150"/>
          <a:ext cx="157162" cy="481012"/>
          <a:chOff x="6719888" y="876301"/>
          <a:chExt cx="171450" cy="447674"/>
        </a:xfrm>
      </xdr:grpSpPr>
      <xdr:cxnSp macro="">
        <xdr:nvCxnSpPr>
          <xdr:cNvPr id="9" name="Straight Arrow Connector 8">
            <a:extLst>
              <a:ext uri="{FF2B5EF4-FFF2-40B4-BE49-F238E27FC236}">
                <a16:creationId xmlns:a16="http://schemas.microsoft.com/office/drawing/2014/main" id="{62C15803-3B99-7E86-9922-CF5A6E391D93}"/>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AF7BBF11-9CEE-65E2-BCB7-A95948A0EDF4}"/>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19051</xdr:colOff>
      <xdr:row>2</xdr:row>
      <xdr:rowOff>109538</xdr:rowOff>
    </xdr:from>
    <xdr:to>
      <xdr:col>11</xdr:col>
      <xdr:colOff>4763</xdr:colOff>
      <xdr:row>5</xdr:row>
      <xdr:rowOff>57149</xdr:rowOff>
    </xdr:to>
    <xdr:grpSp>
      <xdr:nvGrpSpPr>
        <xdr:cNvPr id="11" name="Group 10">
          <a:extLst>
            <a:ext uri="{FF2B5EF4-FFF2-40B4-BE49-F238E27FC236}">
              <a16:creationId xmlns:a16="http://schemas.microsoft.com/office/drawing/2014/main" id="{CCB95A90-85EA-479C-8A97-F78F9C014989}"/>
            </a:ext>
          </a:extLst>
        </xdr:cNvPr>
        <xdr:cNvGrpSpPr/>
      </xdr:nvGrpSpPr>
      <xdr:grpSpPr>
        <a:xfrm>
          <a:off x="5947411" y="345758"/>
          <a:ext cx="168592" cy="473391"/>
          <a:chOff x="6719888" y="876301"/>
          <a:chExt cx="171450" cy="447674"/>
        </a:xfrm>
      </xdr:grpSpPr>
      <xdr:cxnSp macro="">
        <xdr:nvCxnSpPr>
          <xdr:cNvPr id="12" name="Straight Arrow Connector 11">
            <a:extLst>
              <a:ext uri="{FF2B5EF4-FFF2-40B4-BE49-F238E27FC236}">
                <a16:creationId xmlns:a16="http://schemas.microsoft.com/office/drawing/2014/main" id="{BDFA5B64-7336-A0AC-EBB6-7BA2F2C41C5A}"/>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Straight Arrow Connector 12">
            <a:extLst>
              <a:ext uri="{FF2B5EF4-FFF2-40B4-BE49-F238E27FC236}">
                <a16:creationId xmlns:a16="http://schemas.microsoft.com/office/drawing/2014/main" id="{A2113B33-3497-DD26-AC86-3FA41EB09972}"/>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33338</xdr:colOff>
      <xdr:row>7</xdr:row>
      <xdr:rowOff>52387</xdr:rowOff>
    </xdr:from>
    <xdr:to>
      <xdr:col>11</xdr:col>
      <xdr:colOff>19050</xdr:colOff>
      <xdr:row>9</xdr:row>
      <xdr:rowOff>161924</xdr:rowOff>
    </xdr:to>
    <xdr:grpSp>
      <xdr:nvGrpSpPr>
        <xdr:cNvPr id="14" name="Group 13">
          <a:extLst>
            <a:ext uri="{FF2B5EF4-FFF2-40B4-BE49-F238E27FC236}">
              <a16:creationId xmlns:a16="http://schemas.microsoft.com/office/drawing/2014/main" id="{79897612-7364-4211-8D41-D6BFB9AA5572}"/>
            </a:ext>
          </a:extLst>
        </xdr:cNvPr>
        <xdr:cNvGrpSpPr/>
      </xdr:nvGrpSpPr>
      <xdr:grpSpPr>
        <a:xfrm>
          <a:off x="5961698" y="1164907"/>
          <a:ext cx="168592" cy="467677"/>
          <a:chOff x="6719888" y="876301"/>
          <a:chExt cx="171450" cy="447674"/>
        </a:xfrm>
      </xdr:grpSpPr>
      <xdr:cxnSp macro="">
        <xdr:nvCxnSpPr>
          <xdr:cNvPr id="15" name="Straight Arrow Connector 14">
            <a:extLst>
              <a:ext uri="{FF2B5EF4-FFF2-40B4-BE49-F238E27FC236}">
                <a16:creationId xmlns:a16="http://schemas.microsoft.com/office/drawing/2014/main" id="{5A7C2838-C25F-3A92-0099-67F4AF092021}"/>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49E92600-1824-A69F-4D21-38F701F898F3}"/>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33338</xdr:colOff>
      <xdr:row>2</xdr:row>
      <xdr:rowOff>152401</xdr:rowOff>
    </xdr:from>
    <xdr:to>
      <xdr:col>17</xdr:col>
      <xdr:colOff>19050</xdr:colOff>
      <xdr:row>5</xdr:row>
      <xdr:rowOff>100012</xdr:rowOff>
    </xdr:to>
    <xdr:grpSp>
      <xdr:nvGrpSpPr>
        <xdr:cNvPr id="17" name="Group 16">
          <a:extLst>
            <a:ext uri="{FF2B5EF4-FFF2-40B4-BE49-F238E27FC236}">
              <a16:creationId xmlns:a16="http://schemas.microsoft.com/office/drawing/2014/main" id="{53648F7A-B058-41AB-B890-C31F8CB45068}"/>
            </a:ext>
          </a:extLst>
        </xdr:cNvPr>
        <xdr:cNvGrpSpPr/>
      </xdr:nvGrpSpPr>
      <xdr:grpSpPr>
        <a:xfrm>
          <a:off x="8095298" y="388621"/>
          <a:ext cx="168592" cy="473391"/>
          <a:chOff x="6719888" y="876301"/>
          <a:chExt cx="171450" cy="447674"/>
        </a:xfrm>
      </xdr:grpSpPr>
      <xdr:cxnSp macro="">
        <xdr:nvCxnSpPr>
          <xdr:cNvPr id="18" name="Straight Arrow Connector 17">
            <a:extLst>
              <a:ext uri="{FF2B5EF4-FFF2-40B4-BE49-F238E27FC236}">
                <a16:creationId xmlns:a16="http://schemas.microsoft.com/office/drawing/2014/main" id="{A79B405B-0E1E-B2C3-577C-444C17B8BEFF}"/>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835B25B1-FCDD-C7A4-DCAC-7581808D06E4}"/>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19051</xdr:colOff>
      <xdr:row>7</xdr:row>
      <xdr:rowOff>14287</xdr:rowOff>
    </xdr:from>
    <xdr:to>
      <xdr:col>17</xdr:col>
      <xdr:colOff>14288</xdr:colOff>
      <xdr:row>9</xdr:row>
      <xdr:rowOff>128586</xdr:rowOff>
    </xdr:to>
    <xdr:grpSp>
      <xdr:nvGrpSpPr>
        <xdr:cNvPr id="20" name="Group 19">
          <a:extLst>
            <a:ext uri="{FF2B5EF4-FFF2-40B4-BE49-F238E27FC236}">
              <a16:creationId xmlns:a16="http://schemas.microsoft.com/office/drawing/2014/main" id="{2FF42FA5-B83C-42B4-8C96-48F2CBADCA2E}"/>
            </a:ext>
          </a:extLst>
        </xdr:cNvPr>
        <xdr:cNvGrpSpPr/>
      </xdr:nvGrpSpPr>
      <xdr:grpSpPr>
        <a:xfrm>
          <a:off x="8081011" y="1126807"/>
          <a:ext cx="178117" cy="472439"/>
          <a:chOff x="6719888" y="876301"/>
          <a:chExt cx="171450" cy="447674"/>
        </a:xfrm>
      </xdr:grpSpPr>
      <xdr:cxnSp macro="">
        <xdr:nvCxnSpPr>
          <xdr:cNvPr id="21" name="Straight Arrow Connector 20">
            <a:extLst>
              <a:ext uri="{FF2B5EF4-FFF2-40B4-BE49-F238E27FC236}">
                <a16:creationId xmlns:a16="http://schemas.microsoft.com/office/drawing/2014/main" id="{1B2DD6EB-0611-90D8-F9A3-DE26CD44B0FB}"/>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437EED86-674F-B8C5-E2F8-797C332639D7}"/>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22</xdr:col>
      <xdr:colOff>19050</xdr:colOff>
      <xdr:row>3</xdr:row>
      <xdr:rowOff>19050</xdr:rowOff>
    </xdr:from>
    <xdr:to>
      <xdr:col>23</xdr:col>
      <xdr:colOff>71437</xdr:colOff>
      <xdr:row>5</xdr:row>
      <xdr:rowOff>133349</xdr:rowOff>
    </xdr:to>
    <xdr:grpSp>
      <xdr:nvGrpSpPr>
        <xdr:cNvPr id="23" name="Group 22">
          <a:extLst>
            <a:ext uri="{FF2B5EF4-FFF2-40B4-BE49-F238E27FC236}">
              <a16:creationId xmlns:a16="http://schemas.microsoft.com/office/drawing/2014/main" id="{425DB054-DA0E-4322-BF07-2E84E3D69A0A}"/>
            </a:ext>
          </a:extLst>
        </xdr:cNvPr>
        <xdr:cNvGrpSpPr/>
      </xdr:nvGrpSpPr>
      <xdr:grpSpPr>
        <a:xfrm>
          <a:off x="10138410" y="430530"/>
          <a:ext cx="166687" cy="464819"/>
          <a:chOff x="6719888" y="876301"/>
          <a:chExt cx="171450" cy="447674"/>
        </a:xfrm>
      </xdr:grpSpPr>
      <xdr:cxnSp macro="">
        <xdr:nvCxnSpPr>
          <xdr:cNvPr id="24" name="Straight Arrow Connector 23">
            <a:extLst>
              <a:ext uri="{FF2B5EF4-FFF2-40B4-BE49-F238E27FC236}">
                <a16:creationId xmlns:a16="http://schemas.microsoft.com/office/drawing/2014/main" id="{101A7363-CC52-8BB1-CC67-D882E4A3012D}"/>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Straight Arrow Connector 24">
            <a:extLst>
              <a:ext uri="{FF2B5EF4-FFF2-40B4-BE49-F238E27FC236}">
                <a16:creationId xmlns:a16="http://schemas.microsoft.com/office/drawing/2014/main" id="{0FBE7C56-04E1-B6C4-B632-7F373710AEA5}"/>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22</xdr:col>
      <xdr:colOff>0</xdr:colOff>
      <xdr:row>7</xdr:row>
      <xdr:rowOff>76200</xdr:rowOff>
    </xdr:from>
    <xdr:to>
      <xdr:col>23</xdr:col>
      <xdr:colOff>52387</xdr:colOff>
      <xdr:row>10</xdr:row>
      <xdr:rowOff>19049</xdr:rowOff>
    </xdr:to>
    <xdr:grpSp>
      <xdr:nvGrpSpPr>
        <xdr:cNvPr id="26" name="Group 25">
          <a:extLst>
            <a:ext uri="{FF2B5EF4-FFF2-40B4-BE49-F238E27FC236}">
              <a16:creationId xmlns:a16="http://schemas.microsoft.com/office/drawing/2014/main" id="{CB6DA22B-FA5D-41AD-A0EC-174A5B3E9085}"/>
            </a:ext>
          </a:extLst>
        </xdr:cNvPr>
        <xdr:cNvGrpSpPr/>
      </xdr:nvGrpSpPr>
      <xdr:grpSpPr>
        <a:xfrm>
          <a:off x="10119360" y="1188720"/>
          <a:ext cx="166687" cy="476249"/>
          <a:chOff x="6719888" y="876301"/>
          <a:chExt cx="171450" cy="447674"/>
        </a:xfrm>
      </xdr:grpSpPr>
      <xdr:cxnSp macro="">
        <xdr:nvCxnSpPr>
          <xdr:cNvPr id="27" name="Straight Arrow Connector 26">
            <a:extLst>
              <a:ext uri="{FF2B5EF4-FFF2-40B4-BE49-F238E27FC236}">
                <a16:creationId xmlns:a16="http://schemas.microsoft.com/office/drawing/2014/main" id="{1AB7BBAA-9813-F2C0-1BB0-2037877B04A7}"/>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8" name="Straight Arrow Connector 27">
            <a:extLst>
              <a:ext uri="{FF2B5EF4-FFF2-40B4-BE49-F238E27FC236}">
                <a16:creationId xmlns:a16="http://schemas.microsoft.com/office/drawing/2014/main" id="{EC584235-AEA6-3283-1ACF-79E166C57CDE}"/>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5.xml><?xml version="1.0" encoding="utf-8"?>
<xdr:wsDr xmlns:xdr="http://schemas.openxmlformats.org/drawingml/2006/spreadsheetDrawing" xmlns:a="http://schemas.openxmlformats.org/drawingml/2006/main">
  <xdr:twoCellAnchor editAs="oneCell">
    <xdr:from>
      <xdr:col>11</xdr:col>
      <xdr:colOff>327660</xdr:colOff>
      <xdr:row>2</xdr:row>
      <xdr:rowOff>121920</xdr:rowOff>
    </xdr:from>
    <xdr:to>
      <xdr:col>20</xdr:col>
      <xdr:colOff>190975</xdr:colOff>
      <xdr:row>15</xdr:row>
      <xdr:rowOff>91637</xdr:rowOff>
    </xdr:to>
    <xdr:pic>
      <xdr:nvPicPr>
        <xdr:cNvPr id="2" name="Picture 1">
          <a:extLst>
            <a:ext uri="{FF2B5EF4-FFF2-40B4-BE49-F238E27FC236}">
              <a16:creationId xmlns:a16="http://schemas.microsoft.com/office/drawing/2014/main" id="{3062AEF8-26F2-DA6E-720F-ABC0F2076038}"/>
            </a:ext>
          </a:extLst>
        </xdr:cNvPr>
        <xdr:cNvPicPr>
          <a:picLocks noChangeAspect="1"/>
        </xdr:cNvPicPr>
      </xdr:nvPicPr>
      <xdr:blipFill>
        <a:blip xmlns:r="http://schemas.openxmlformats.org/officeDocument/2006/relationships" r:embed="rId1"/>
        <a:stretch>
          <a:fillRect/>
        </a:stretch>
      </xdr:blipFill>
      <xdr:spPr>
        <a:xfrm>
          <a:off x="8206740" y="388620"/>
          <a:ext cx="5486875" cy="22709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7</xdr:col>
      <xdr:colOff>91440</xdr:colOff>
      <xdr:row>9</xdr:row>
      <xdr:rowOff>114300</xdr:rowOff>
    </xdr:from>
    <xdr:to>
      <xdr:col>16</xdr:col>
      <xdr:colOff>30990</xdr:colOff>
      <xdr:row>28</xdr:row>
      <xdr:rowOff>30761</xdr:rowOff>
    </xdr:to>
    <xdr:pic>
      <xdr:nvPicPr>
        <xdr:cNvPr id="2" name="Picture 1">
          <a:extLst>
            <a:ext uri="{FF2B5EF4-FFF2-40B4-BE49-F238E27FC236}">
              <a16:creationId xmlns:a16="http://schemas.microsoft.com/office/drawing/2014/main" id="{1E6246FF-61CC-4D6D-8734-70825FBE3867}"/>
            </a:ext>
          </a:extLst>
        </xdr:cNvPr>
        <xdr:cNvPicPr>
          <a:picLocks noChangeAspect="1"/>
        </xdr:cNvPicPr>
      </xdr:nvPicPr>
      <xdr:blipFill>
        <a:blip xmlns:r="http://schemas.openxmlformats.org/officeDocument/2006/relationships" r:embed="rId1"/>
        <a:stretch>
          <a:fillRect/>
        </a:stretch>
      </xdr:blipFill>
      <xdr:spPr>
        <a:xfrm>
          <a:off x="7040880" y="1691640"/>
          <a:ext cx="5883150" cy="324640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8</xdr:col>
      <xdr:colOff>541020</xdr:colOff>
      <xdr:row>7</xdr:row>
      <xdr:rowOff>137160</xdr:rowOff>
    </xdr:from>
    <xdr:to>
      <xdr:col>19</xdr:col>
      <xdr:colOff>526360</xdr:colOff>
      <xdr:row>27</xdr:row>
      <xdr:rowOff>23154</xdr:rowOff>
    </xdr:to>
    <xdr:pic>
      <xdr:nvPicPr>
        <xdr:cNvPr id="2" name="Picture 1">
          <a:extLst>
            <a:ext uri="{FF2B5EF4-FFF2-40B4-BE49-F238E27FC236}">
              <a16:creationId xmlns:a16="http://schemas.microsoft.com/office/drawing/2014/main" id="{49A1EDB2-5238-EEBB-892B-E0B42469D738}"/>
            </a:ext>
          </a:extLst>
        </xdr:cNvPr>
        <xdr:cNvPicPr>
          <a:picLocks noChangeAspect="1"/>
        </xdr:cNvPicPr>
      </xdr:nvPicPr>
      <xdr:blipFill>
        <a:blip xmlns:r="http://schemas.openxmlformats.org/officeDocument/2006/relationships" r:embed="rId1"/>
        <a:stretch>
          <a:fillRect/>
        </a:stretch>
      </xdr:blipFill>
      <xdr:spPr>
        <a:xfrm>
          <a:off x="5783580" y="1363980"/>
          <a:ext cx="6690940" cy="339119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480060</xdr:colOff>
      <xdr:row>14</xdr:row>
      <xdr:rowOff>68580</xdr:rowOff>
    </xdr:from>
    <xdr:to>
      <xdr:col>16</xdr:col>
      <xdr:colOff>30911</xdr:colOff>
      <xdr:row>35</xdr:row>
      <xdr:rowOff>53658</xdr:rowOff>
    </xdr:to>
    <xdr:pic>
      <xdr:nvPicPr>
        <xdr:cNvPr id="2" name="Picture 1">
          <a:extLst>
            <a:ext uri="{FF2B5EF4-FFF2-40B4-BE49-F238E27FC236}">
              <a16:creationId xmlns:a16="http://schemas.microsoft.com/office/drawing/2014/main" id="{1B6267C6-B554-4948-8133-9CC152410629}"/>
            </a:ext>
          </a:extLst>
        </xdr:cNvPr>
        <xdr:cNvPicPr>
          <a:picLocks noChangeAspect="1"/>
        </xdr:cNvPicPr>
      </xdr:nvPicPr>
      <xdr:blipFill>
        <a:blip xmlns:r="http://schemas.openxmlformats.org/officeDocument/2006/relationships" r:embed="rId1"/>
        <a:stretch>
          <a:fillRect/>
        </a:stretch>
      </xdr:blipFill>
      <xdr:spPr>
        <a:xfrm>
          <a:off x="7162800" y="2522220"/>
          <a:ext cx="4968671" cy="366553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10</xdr:col>
      <xdr:colOff>501015</xdr:colOff>
      <xdr:row>8</xdr:row>
      <xdr:rowOff>30480</xdr:rowOff>
    </xdr:from>
    <xdr:to>
      <xdr:col>21</xdr:col>
      <xdr:colOff>440649</xdr:colOff>
      <xdr:row>14</xdr:row>
      <xdr:rowOff>64863</xdr:rowOff>
    </xdr:to>
    <xdr:pic>
      <xdr:nvPicPr>
        <xdr:cNvPr id="2" name="Picture 1">
          <a:extLst>
            <a:ext uri="{FF2B5EF4-FFF2-40B4-BE49-F238E27FC236}">
              <a16:creationId xmlns:a16="http://schemas.microsoft.com/office/drawing/2014/main" id="{D4823910-79C3-28A6-3729-9F26F912ABA9}"/>
            </a:ext>
          </a:extLst>
        </xdr:cNvPr>
        <xdr:cNvPicPr>
          <a:picLocks noChangeAspect="1"/>
        </xdr:cNvPicPr>
      </xdr:nvPicPr>
      <xdr:blipFill>
        <a:blip xmlns:r="http://schemas.openxmlformats.org/officeDocument/2006/relationships" r:embed="rId1"/>
        <a:stretch>
          <a:fillRect/>
        </a:stretch>
      </xdr:blipFill>
      <xdr:spPr>
        <a:xfrm>
          <a:off x="8082915" y="1356360"/>
          <a:ext cx="6812874" cy="110118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7</xdr:col>
      <xdr:colOff>18098</xdr:colOff>
      <xdr:row>5</xdr:row>
      <xdr:rowOff>44768</xdr:rowOff>
    </xdr:from>
    <xdr:to>
      <xdr:col>8</xdr:col>
      <xdr:colOff>0</xdr:colOff>
      <xdr:row>7</xdr:row>
      <xdr:rowOff>159067</xdr:rowOff>
    </xdr:to>
    <xdr:grpSp>
      <xdr:nvGrpSpPr>
        <xdr:cNvPr id="2" name="Group 1">
          <a:extLst>
            <a:ext uri="{FF2B5EF4-FFF2-40B4-BE49-F238E27FC236}">
              <a16:creationId xmlns:a16="http://schemas.microsoft.com/office/drawing/2014/main" id="{A9A37463-5157-414B-BAEA-CBDC2771C741}"/>
            </a:ext>
          </a:extLst>
        </xdr:cNvPr>
        <xdr:cNvGrpSpPr/>
      </xdr:nvGrpSpPr>
      <xdr:grpSpPr>
        <a:xfrm>
          <a:off x="4712018" y="806768"/>
          <a:ext cx="164782" cy="464819"/>
          <a:chOff x="6719888" y="876301"/>
          <a:chExt cx="171450" cy="447674"/>
        </a:xfrm>
      </xdr:grpSpPr>
      <xdr:cxnSp macro="">
        <xdr:nvCxnSpPr>
          <xdr:cNvPr id="3" name="Straight Arrow Connector 2">
            <a:extLst>
              <a:ext uri="{FF2B5EF4-FFF2-40B4-BE49-F238E27FC236}">
                <a16:creationId xmlns:a16="http://schemas.microsoft.com/office/drawing/2014/main" id="{218B4EEA-3D06-D1E7-59A6-F0C9D6E49791}"/>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3">
            <a:extLst>
              <a:ext uri="{FF2B5EF4-FFF2-40B4-BE49-F238E27FC236}">
                <a16:creationId xmlns:a16="http://schemas.microsoft.com/office/drawing/2014/main" id="{F492C774-030D-8167-7C5B-5813E01198C5}"/>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15241</xdr:colOff>
      <xdr:row>5</xdr:row>
      <xdr:rowOff>18097</xdr:rowOff>
    </xdr:from>
    <xdr:to>
      <xdr:col>12</xdr:col>
      <xdr:colOff>18098</xdr:colOff>
      <xdr:row>7</xdr:row>
      <xdr:rowOff>132396</xdr:rowOff>
    </xdr:to>
    <xdr:grpSp>
      <xdr:nvGrpSpPr>
        <xdr:cNvPr id="5" name="Group 4">
          <a:extLst>
            <a:ext uri="{FF2B5EF4-FFF2-40B4-BE49-F238E27FC236}">
              <a16:creationId xmlns:a16="http://schemas.microsoft.com/office/drawing/2014/main" id="{16BE2841-6A37-4063-A9E4-533FE5700CE8}"/>
            </a:ext>
          </a:extLst>
        </xdr:cNvPr>
        <xdr:cNvGrpSpPr/>
      </xdr:nvGrpSpPr>
      <xdr:grpSpPr>
        <a:xfrm>
          <a:off x="6667501" y="780097"/>
          <a:ext cx="185737" cy="464819"/>
          <a:chOff x="6719888" y="876301"/>
          <a:chExt cx="171450" cy="447674"/>
        </a:xfrm>
      </xdr:grpSpPr>
      <xdr:cxnSp macro="">
        <xdr:nvCxnSpPr>
          <xdr:cNvPr id="6" name="Straight Arrow Connector 5">
            <a:extLst>
              <a:ext uri="{FF2B5EF4-FFF2-40B4-BE49-F238E27FC236}">
                <a16:creationId xmlns:a16="http://schemas.microsoft.com/office/drawing/2014/main" id="{2633EA4D-F751-5939-ADAF-2D924CCB97FE}"/>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50ED3D2C-5CB5-46A4-C1F1-FA4AB05BD507}"/>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15</xdr:col>
      <xdr:colOff>11431</xdr:colOff>
      <xdr:row>5</xdr:row>
      <xdr:rowOff>53340</xdr:rowOff>
    </xdr:from>
    <xdr:to>
      <xdr:col>15</xdr:col>
      <xdr:colOff>170498</xdr:colOff>
      <xdr:row>8</xdr:row>
      <xdr:rowOff>6667</xdr:rowOff>
    </xdr:to>
    <xdr:grpSp>
      <xdr:nvGrpSpPr>
        <xdr:cNvPr id="8" name="Group 7">
          <a:extLst>
            <a:ext uri="{FF2B5EF4-FFF2-40B4-BE49-F238E27FC236}">
              <a16:creationId xmlns:a16="http://schemas.microsoft.com/office/drawing/2014/main" id="{68B170C1-90FC-4D29-AB4C-DF99400A210B}"/>
            </a:ext>
          </a:extLst>
        </xdr:cNvPr>
        <xdr:cNvGrpSpPr/>
      </xdr:nvGrpSpPr>
      <xdr:grpSpPr>
        <a:xfrm>
          <a:off x="8012431" y="815340"/>
          <a:ext cx="159067" cy="486727"/>
          <a:chOff x="6719888" y="876301"/>
          <a:chExt cx="171450" cy="447674"/>
        </a:xfrm>
      </xdr:grpSpPr>
      <xdr:cxnSp macro="">
        <xdr:nvCxnSpPr>
          <xdr:cNvPr id="9" name="Straight Arrow Connector 8">
            <a:extLst>
              <a:ext uri="{FF2B5EF4-FFF2-40B4-BE49-F238E27FC236}">
                <a16:creationId xmlns:a16="http://schemas.microsoft.com/office/drawing/2014/main" id="{736B8BDD-95EC-B74D-AF6E-620268628F21}"/>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3103C4ED-27F5-8444-229E-FA38EFC14C7F}"/>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18</xdr:col>
      <xdr:colOff>314325</xdr:colOff>
      <xdr:row>4</xdr:row>
      <xdr:rowOff>19050</xdr:rowOff>
    </xdr:from>
    <xdr:to>
      <xdr:col>29</xdr:col>
      <xdr:colOff>368269</xdr:colOff>
      <xdr:row>11</xdr:row>
      <xdr:rowOff>104</xdr:rowOff>
    </xdr:to>
    <xdr:pic>
      <xdr:nvPicPr>
        <xdr:cNvPr id="12" name="Picture 11">
          <a:extLst>
            <a:ext uri="{FF2B5EF4-FFF2-40B4-BE49-F238E27FC236}">
              <a16:creationId xmlns:a16="http://schemas.microsoft.com/office/drawing/2014/main" id="{3665F0A9-B144-9C4E-6991-46597B7EAF14}"/>
            </a:ext>
          </a:extLst>
        </xdr:cNvPr>
        <xdr:cNvPicPr>
          <a:picLocks noChangeAspect="1"/>
        </xdr:cNvPicPr>
      </xdr:nvPicPr>
      <xdr:blipFill>
        <a:blip xmlns:r="http://schemas.openxmlformats.org/officeDocument/2006/relationships" r:embed="rId1"/>
        <a:stretch>
          <a:fillRect/>
        </a:stretch>
      </xdr:blipFill>
      <xdr:spPr>
        <a:xfrm>
          <a:off x="9115425" y="590550"/>
          <a:ext cx="6969094" cy="1200254"/>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7</xdr:col>
      <xdr:colOff>18098</xdr:colOff>
      <xdr:row>5</xdr:row>
      <xdr:rowOff>44768</xdr:rowOff>
    </xdr:from>
    <xdr:to>
      <xdr:col>8</xdr:col>
      <xdr:colOff>0</xdr:colOff>
      <xdr:row>7</xdr:row>
      <xdr:rowOff>159067</xdr:rowOff>
    </xdr:to>
    <xdr:grpSp>
      <xdr:nvGrpSpPr>
        <xdr:cNvPr id="2" name="Group 1">
          <a:extLst>
            <a:ext uri="{FF2B5EF4-FFF2-40B4-BE49-F238E27FC236}">
              <a16:creationId xmlns:a16="http://schemas.microsoft.com/office/drawing/2014/main" id="{CAB6B9BF-535C-4C48-A5F3-31931D0367B7}"/>
            </a:ext>
          </a:extLst>
        </xdr:cNvPr>
        <xdr:cNvGrpSpPr/>
      </xdr:nvGrpSpPr>
      <xdr:grpSpPr>
        <a:xfrm>
          <a:off x="5001578" y="806768"/>
          <a:ext cx="164782" cy="464819"/>
          <a:chOff x="6719888" y="876301"/>
          <a:chExt cx="171450" cy="447674"/>
        </a:xfrm>
      </xdr:grpSpPr>
      <xdr:cxnSp macro="">
        <xdr:nvCxnSpPr>
          <xdr:cNvPr id="3" name="Straight Arrow Connector 2">
            <a:extLst>
              <a:ext uri="{FF2B5EF4-FFF2-40B4-BE49-F238E27FC236}">
                <a16:creationId xmlns:a16="http://schemas.microsoft.com/office/drawing/2014/main" id="{B2507449-65F5-05B3-AD6E-DB5BBB15E85F}"/>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3">
            <a:extLst>
              <a:ext uri="{FF2B5EF4-FFF2-40B4-BE49-F238E27FC236}">
                <a16:creationId xmlns:a16="http://schemas.microsoft.com/office/drawing/2014/main" id="{84102EA9-1BB8-388B-8EA0-346961FAF3DB}"/>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15241</xdr:colOff>
      <xdr:row>5</xdr:row>
      <xdr:rowOff>18097</xdr:rowOff>
    </xdr:from>
    <xdr:to>
      <xdr:col>15</xdr:col>
      <xdr:colOff>18098</xdr:colOff>
      <xdr:row>7</xdr:row>
      <xdr:rowOff>132396</xdr:rowOff>
    </xdr:to>
    <xdr:grpSp>
      <xdr:nvGrpSpPr>
        <xdr:cNvPr id="5" name="Group 4">
          <a:extLst>
            <a:ext uri="{FF2B5EF4-FFF2-40B4-BE49-F238E27FC236}">
              <a16:creationId xmlns:a16="http://schemas.microsoft.com/office/drawing/2014/main" id="{E0C64828-C0BC-4CBF-9EAC-1439E7AC4C26}"/>
            </a:ext>
          </a:extLst>
        </xdr:cNvPr>
        <xdr:cNvGrpSpPr/>
      </xdr:nvGrpSpPr>
      <xdr:grpSpPr>
        <a:xfrm>
          <a:off x="7726681" y="780097"/>
          <a:ext cx="185737" cy="464819"/>
          <a:chOff x="6719888" y="876301"/>
          <a:chExt cx="171450" cy="447674"/>
        </a:xfrm>
      </xdr:grpSpPr>
      <xdr:cxnSp macro="">
        <xdr:nvCxnSpPr>
          <xdr:cNvPr id="6" name="Straight Arrow Connector 5">
            <a:extLst>
              <a:ext uri="{FF2B5EF4-FFF2-40B4-BE49-F238E27FC236}">
                <a16:creationId xmlns:a16="http://schemas.microsoft.com/office/drawing/2014/main" id="{4D1ED31C-3B25-A9D6-2AFA-29E301FAE9A7}"/>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FD53558E-AE6B-255E-8696-DD62875BDD55}"/>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11431</xdr:colOff>
      <xdr:row>5</xdr:row>
      <xdr:rowOff>53340</xdr:rowOff>
    </xdr:from>
    <xdr:to>
      <xdr:col>20</xdr:col>
      <xdr:colOff>170498</xdr:colOff>
      <xdr:row>8</xdr:row>
      <xdr:rowOff>6667</xdr:rowOff>
    </xdr:to>
    <xdr:grpSp>
      <xdr:nvGrpSpPr>
        <xdr:cNvPr id="8" name="Group 7">
          <a:extLst>
            <a:ext uri="{FF2B5EF4-FFF2-40B4-BE49-F238E27FC236}">
              <a16:creationId xmlns:a16="http://schemas.microsoft.com/office/drawing/2014/main" id="{76487D65-5299-433E-BB97-38923AC35CC2}"/>
            </a:ext>
          </a:extLst>
        </xdr:cNvPr>
        <xdr:cNvGrpSpPr/>
      </xdr:nvGrpSpPr>
      <xdr:grpSpPr>
        <a:xfrm>
          <a:off x="9780271" y="815340"/>
          <a:ext cx="159067" cy="486727"/>
          <a:chOff x="6719888" y="876301"/>
          <a:chExt cx="171450" cy="447674"/>
        </a:xfrm>
      </xdr:grpSpPr>
      <xdr:cxnSp macro="">
        <xdr:nvCxnSpPr>
          <xdr:cNvPr id="9" name="Straight Arrow Connector 8">
            <a:extLst>
              <a:ext uri="{FF2B5EF4-FFF2-40B4-BE49-F238E27FC236}">
                <a16:creationId xmlns:a16="http://schemas.microsoft.com/office/drawing/2014/main" id="{1681A3CD-F96E-EA35-2766-D1994736144B}"/>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D5FBDAA-C25A-0BD8-9725-DFCCDB47E52A}"/>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15241</xdr:colOff>
      <xdr:row>2</xdr:row>
      <xdr:rowOff>107633</xdr:rowOff>
    </xdr:from>
    <xdr:to>
      <xdr:col>11</xdr:col>
      <xdr:colOff>6668</xdr:colOff>
      <xdr:row>5</xdr:row>
      <xdr:rowOff>60959</xdr:rowOff>
    </xdr:to>
    <xdr:grpSp>
      <xdr:nvGrpSpPr>
        <xdr:cNvPr id="11" name="Group 10">
          <a:extLst>
            <a:ext uri="{FF2B5EF4-FFF2-40B4-BE49-F238E27FC236}">
              <a16:creationId xmlns:a16="http://schemas.microsoft.com/office/drawing/2014/main" id="{9480CBD4-67DD-4169-BE5C-08034F43A2D9}"/>
            </a:ext>
          </a:extLst>
        </xdr:cNvPr>
        <xdr:cNvGrpSpPr/>
      </xdr:nvGrpSpPr>
      <xdr:grpSpPr>
        <a:xfrm>
          <a:off x="6301741" y="343853"/>
          <a:ext cx="174307" cy="479106"/>
          <a:chOff x="6719888" y="876301"/>
          <a:chExt cx="171450" cy="447674"/>
        </a:xfrm>
      </xdr:grpSpPr>
      <xdr:cxnSp macro="">
        <xdr:nvCxnSpPr>
          <xdr:cNvPr id="12" name="Straight Arrow Connector 11">
            <a:extLst>
              <a:ext uri="{FF2B5EF4-FFF2-40B4-BE49-F238E27FC236}">
                <a16:creationId xmlns:a16="http://schemas.microsoft.com/office/drawing/2014/main" id="{FB4CDA54-3DFD-2AA6-9F74-833943F44AC8}"/>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Straight Arrow Connector 12">
            <a:extLst>
              <a:ext uri="{FF2B5EF4-FFF2-40B4-BE49-F238E27FC236}">
                <a16:creationId xmlns:a16="http://schemas.microsoft.com/office/drawing/2014/main" id="{E9BB8981-0FAC-BFE2-8269-CD84F299B4B5}"/>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31433</xdr:colOff>
      <xdr:row>7</xdr:row>
      <xdr:rowOff>56197</xdr:rowOff>
    </xdr:from>
    <xdr:to>
      <xdr:col>11</xdr:col>
      <xdr:colOff>15240</xdr:colOff>
      <xdr:row>9</xdr:row>
      <xdr:rowOff>163829</xdr:rowOff>
    </xdr:to>
    <xdr:grpSp>
      <xdr:nvGrpSpPr>
        <xdr:cNvPr id="14" name="Group 13">
          <a:extLst>
            <a:ext uri="{FF2B5EF4-FFF2-40B4-BE49-F238E27FC236}">
              <a16:creationId xmlns:a16="http://schemas.microsoft.com/office/drawing/2014/main" id="{BD565DAA-7B7E-44FE-AAAD-9F2BA8807C58}"/>
            </a:ext>
          </a:extLst>
        </xdr:cNvPr>
        <xdr:cNvGrpSpPr/>
      </xdr:nvGrpSpPr>
      <xdr:grpSpPr>
        <a:xfrm>
          <a:off x="6317933" y="1168717"/>
          <a:ext cx="166687" cy="465772"/>
          <a:chOff x="6719888" y="876301"/>
          <a:chExt cx="171450" cy="447674"/>
        </a:xfrm>
      </xdr:grpSpPr>
      <xdr:cxnSp macro="">
        <xdr:nvCxnSpPr>
          <xdr:cNvPr id="15" name="Straight Arrow Connector 14">
            <a:extLst>
              <a:ext uri="{FF2B5EF4-FFF2-40B4-BE49-F238E27FC236}">
                <a16:creationId xmlns:a16="http://schemas.microsoft.com/office/drawing/2014/main" id="{E1AD8669-B1BD-9576-7221-663968D35EB7}"/>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341CB87-B211-5890-506A-3361F097B936}"/>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31433</xdr:colOff>
      <xdr:row>2</xdr:row>
      <xdr:rowOff>152401</xdr:rowOff>
    </xdr:from>
    <xdr:to>
      <xdr:col>17</xdr:col>
      <xdr:colOff>15240</xdr:colOff>
      <xdr:row>5</xdr:row>
      <xdr:rowOff>96202</xdr:rowOff>
    </xdr:to>
    <xdr:grpSp>
      <xdr:nvGrpSpPr>
        <xdr:cNvPr id="17" name="Group 16">
          <a:extLst>
            <a:ext uri="{FF2B5EF4-FFF2-40B4-BE49-F238E27FC236}">
              <a16:creationId xmlns:a16="http://schemas.microsoft.com/office/drawing/2014/main" id="{8CDFA872-426F-410C-AB44-87ED7524D36D}"/>
            </a:ext>
          </a:extLst>
        </xdr:cNvPr>
        <xdr:cNvGrpSpPr/>
      </xdr:nvGrpSpPr>
      <xdr:grpSpPr>
        <a:xfrm>
          <a:off x="8451533" y="388621"/>
          <a:ext cx="166687" cy="469581"/>
          <a:chOff x="6719888" y="876301"/>
          <a:chExt cx="171450" cy="447674"/>
        </a:xfrm>
      </xdr:grpSpPr>
      <xdr:cxnSp macro="">
        <xdr:nvCxnSpPr>
          <xdr:cNvPr id="18" name="Straight Arrow Connector 17">
            <a:extLst>
              <a:ext uri="{FF2B5EF4-FFF2-40B4-BE49-F238E27FC236}">
                <a16:creationId xmlns:a16="http://schemas.microsoft.com/office/drawing/2014/main" id="{4C897AC6-EF80-026F-F302-2E5973C13907}"/>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70A0E696-BA57-E6A5-020C-2D2A2FE83FD9}"/>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15241</xdr:colOff>
      <xdr:row>7</xdr:row>
      <xdr:rowOff>18097</xdr:rowOff>
    </xdr:from>
    <xdr:to>
      <xdr:col>17</xdr:col>
      <xdr:colOff>18098</xdr:colOff>
      <xdr:row>9</xdr:row>
      <xdr:rowOff>132396</xdr:rowOff>
    </xdr:to>
    <xdr:grpSp>
      <xdr:nvGrpSpPr>
        <xdr:cNvPr id="20" name="Group 19">
          <a:extLst>
            <a:ext uri="{FF2B5EF4-FFF2-40B4-BE49-F238E27FC236}">
              <a16:creationId xmlns:a16="http://schemas.microsoft.com/office/drawing/2014/main" id="{0AA49E69-7B6D-4B73-ADEB-C3E48F852EBB}"/>
            </a:ext>
          </a:extLst>
        </xdr:cNvPr>
        <xdr:cNvGrpSpPr/>
      </xdr:nvGrpSpPr>
      <xdr:grpSpPr>
        <a:xfrm>
          <a:off x="8435341" y="1130617"/>
          <a:ext cx="185737" cy="472439"/>
          <a:chOff x="6719888" y="876301"/>
          <a:chExt cx="171450" cy="447674"/>
        </a:xfrm>
      </xdr:grpSpPr>
      <xdr:cxnSp macro="">
        <xdr:nvCxnSpPr>
          <xdr:cNvPr id="21" name="Straight Arrow Connector 20">
            <a:extLst>
              <a:ext uri="{FF2B5EF4-FFF2-40B4-BE49-F238E27FC236}">
                <a16:creationId xmlns:a16="http://schemas.microsoft.com/office/drawing/2014/main" id="{45BA7044-18DB-5F8F-18A3-A11FEA119B68}"/>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B94235C2-D80C-E541-38DA-FA113F0E9DA2}"/>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22</xdr:col>
      <xdr:colOff>15240</xdr:colOff>
      <xdr:row>3</xdr:row>
      <xdr:rowOff>15240</xdr:rowOff>
    </xdr:from>
    <xdr:to>
      <xdr:col>23</xdr:col>
      <xdr:colOff>69532</xdr:colOff>
      <xdr:row>5</xdr:row>
      <xdr:rowOff>137159</xdr:rowOff>
    </xdr:to>
    <xdr:grpSp>
      <xdr:nvGrpSpPr>
        <xdr:cNvPr id="23" name="Group 22">
          <a:extLst>
            <a:ext uri="{FF2B5EF4-FFF2-40B4-BE49-F238E27FC236}">
              <a16:creationId xmlns:a16="http://schemas.microsoft.com/office/drawing/2014/main" id="{F8AC3106-4BD6-49D1-88E6-19E0B0000180}"/>
            </a:ext>
          </a:extLst>
        </xdr:cNvPr>
        <xdr:cNvGrpSpPr/>
      </xdr:nvGrpSpPr>
      <xdr:grpSpPr>
        <a:xfrm>
          <a:off x="10492740" y="426720"/>
          <a:ext cx="168592" cy="472439"/>
          <a:chOff x="6719888" y="876301"/>
          <a:chExt cx="171450" cy="447674"/>
        </a:xfrm>
      </xdr:grpSpPr>
      <xdr:cxnSp macro="">
        <xdr:nvCxnSpPr>
          <xdr:cNvPr id="24" name="Straight Arrow Connector 23">
            <a:extLst>
              <a:ext uri="{FF2B5EF4-FFF2-40B4-BE49-F238E27FC236}">
                <a16:creationId xmlns:a16="http://schemas.microsoft.com/office/drawing/2014/main" id="{75FBA5C5-87AE-F524-076B-D11D8F40E99A}"/>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Straight Arrow Connector 24">
            <a:extLst>
              <a:ext uri="{FF2B5EF4-FFF2-40B4-BE49-F238E27FC236}">
                <a16:creationId xmlns:a16="http://schemas.microsoft.com/office/drawing/2014/main" id="{0BA8B153-02AD-26A5-4A2B-BB52ED7A1979}"/>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22</xdr:col>
      <xdr:colOff>0</xdr:colOff>
      <xdr:row>7</xdr:row>
      <xdr:rowOff>76200</xdr:rowOff>
    </xdr:from>
    <xdr:to>
      <xdr:col>23</xdr:col>
      <xdr:colOff>56197</xdr:colOff>
      <xdr:row>10</xdr:row>
      <xdr:rowOff>22859</xdr:rowOff>
    </xdr:to>
    <xdr:grpSp>
      <xdr:nvGrpSpPr>
        <xdr:cNvPr id="26" name="Group 25">
          <a:extLst>
            <a:ext uri="{FF2B5EF4-FFF2-40B4-BE49-F238E27FC236}">
              <a16:creationId xmlns:a16="http://schemas.microsoft.com/office/drawing/2014/main" id="{DCD44B57-F2E4-4CAA-BB60-917F46B7690D}"/>
            </a:ext>
          </a:extLst>
        </xdr:cNvPr>
        <xdr:cNvGrpSpPr/>
      </xdr:nvGrpSpPr>
      <xdr:grpSpPr>
        <a:xfrm>
          <a:off x="10477500" y="1188720"/>
          <a:ext cx="170497" cy="480059"/>
          <a:chOff x="6719888" y="876301"/>
          <a:chExt cx="171450" cy="447674"/>
        </a:xfrm>
      </xdr:grpSpPr>
      <xdr:cxnSp macro="">
        <xdr:nvCxnSpPr>
          <xdr:cNvPr id="27" name="Straight Arrow Connector 26">
            <a:extLst>
              <a:ext uri="{FF2B5EF4-FFF2-40B4-BE49-F238E27FC236}">
                <a16:creationId xmlns:a16="http://schemas.microsoft.com/office/drawing/2014/main" id="{E62A2195-7FF2-D791-E4BF-9A8E7F98896C}"/>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8" name="Straight Arrow Connector 27">
            <a:extLst>
              <a:ext uri="{FF2B5EF4-FFF2-40B4-BE49-F238E27FC236}">
                <a16:creationId xmlns:a16="http://schemas.microsoft.com/office/drawing/2014/main" id="{6829B06A-D0BD-B49A-DAC8-6E5F09E48C5C}"/>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2.xml><?xml version="1.0" encoding="utf-8"?>
<xdr:wsDr xmlns:xdr="http://schemas.openxmlformats.org/drawingml/2006/spreadsheetDrawing" xmlns:a="http://schemas.openxmlformats.org/drawingml/2006/main">
  <xdr:twoCellAnchor>
    <xdr:from>
      <xdr:col>7</xdr:col>
      <xdr:colOff>14288</xdr:colOff>
      <xdr:row>8</xdr:row>
      <xdr:rowOff>42863</xdr:rowOff>
    </xdr:from>
    <xdr:to>
      <xdr:col>8</xdr:col>
      <xdr:colOff>0</xdr:colOff>
      <xdr:row>10</xdr:row>
      <xdr:rowOff>157162</xdr:rowOff>
    </xdr:to>
    <xdr:grpSp>
      <xdr:nvGrpSpPr>
        <xdr:cNvPr id="2" name="Group 1">
          <a:extLst>
            <a:ext uri="{FF2B5EF4-FFF2-40B4-BE49-F238E27FC236}">
              <a16:creationId xmlns:a16="http://schemas.microsoft.com/office/drawing/2014/main" id="{A2A27C23-248D-4E27-AF30-F1EF8117E739}"/>
            </a:ext>
          </a:extLst>
        </xdr:cNvPr>
        <xdr:cNvGrpSpPr/>
      </xdr:nvGrpSpPr>
      <xdr:grpSpPr>
        <a:xfrm>
          <a:off x="4708208" y="1338263"/>
          <a:ext cx="168592" cy="464819"/>
          <a:chOff x="6719888" y="876301"/>
          <a:chExt cx="171450" cy="447674"/>
        </a:xfrm>
      </xdr:grpSpPr>
      <xdr:cxnSp macro="">
        <xdr:nvCxnSpPr>
          <xdr:cNvPr id="3" name="Straight Arrow Connector 2">
            <a:extLst>
              <a:ext uri="{FF2B5EF4-FFF2-40B4-BE49-F238E27FC236}">
                <a16:creationId xmlns:a16="http://schemas.microsoft.com/office/drawing/2014/main" id="{A648AC30-3E8A-4091-CA82-62036C4A0C98}"/>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3">
            <a:extLst>
              <a:ext uri="{FF2B5EF4-FFF2-40B4-BE49-F238E27FC236}">
                <a16:creationId xmlns:a16="http://schemas.microsoft.com/office/drawing/2014/main" id="{475C4650-3190-9573-A9B9-C3FEB222668E}"/>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19051</xdr:colOff>
      <xdr:row>8</xdr:row>
      <xdr:rowOff>14287</xdr:rowOff>
    </xdr:from>
    <xdr:to>
      <xdr:col>17</xdr:col>
      <xdr:colOff>14288</xdr:colOff>
      <xdr:row>10</xdr:row>
      <xdr:rowOff>128586</xdr:rowOff>
    </xdr:to>
    <xdr:grpSp>
      <xdr:nvGrpSpPr>
        <xdr:cNvPr id="5" name="Group 4">
          <a:extLst>
            <a:ext uri="{FF2B5EF4-FFF2-40B4-BE49-F238E27FC236}">
              <a16:creationId xmlns:a16="http://schemas.microsoft.com/office/drawing/2014/main" id="{8AD0C704-CB2D-48CB-BB76-55A075219DB6}"/>
            </a:ext>
          </a:extLst>
        </xdr:cNvPr>
        <xdr:cNvGrpSpPr/>
      </xdr:nvGrpSpPr>
      <xdr:grpSpPr>
        <a:xfrm>
          <a:off x="8012431" y="1309687"/>
          <a:ext cx="178117" cy="464819"/>
          <a:chOff x="6719888" y="876301"/>
          <a:chExt cx="171450" cy="447674"/>
        </a:xfrm>
      </xdr:grpSpPr>
      <xdr:cxnSp macro="">
        <xdr:nvCxnSpPr>
          <xdr:cNvPr id="6" name="Straight Arrow Connector 5">
            <a:extLst>
              <a:ext uri="{FF2B5EF4-FFF2-40B4-BE49-F238E27FC236}">
                <a16:creationId xmlns:a16="http://schemas.microsoft.com/office/drawing/2014/main" id="{EA2D0B8D-9FB0-A12E-8447-6D0E3BE6F92E}"/>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4F682C22-D42F-C68A-CCC5-848D7ABAC300}"/>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24</xdr:col>
      <xdr:colOff>9526</xdr:colOff>
      <xdr:row>8</xdr:row>
      <xdr:rowOff>57150</xdr:rowOff>
    </xdr:from>
    <xdr:to>
      <xdr:col>24</xdr:col>
      <xdr:colOff>166688</xdr:colOff>
      <xdr:row>11</xdr:row>
      <xdr:rowOff>4762</xdr:rowOff>
    </xdr:to>
    <xdr:grpSp>
      <xdr:nvGrpSpPr>
        <xdr:cNvPr id="8" name="Group 7">
          <a:extLst>
            <a:ext uri="{FF2B5EF4-FFF2-40B4-BE49-F238E27FC236}">
              <a16:creationId xmlns:a16="http://schemas.microsoft.com/office/drawing/2014/main" id="{9C0F240E-EA48-4782-BD95-C992852AED39}"/>
            </a:ext>
          </a:extLst>
        </xdr:cNvPr>
        <xdr:cNvGrpSpPr/>
      </xdr:nvGrpSpPr>
      <xdr:grpSpPr>
        <a:xfrm>
          <a:off x="10768966" y="1352550"/>
          <a:ext cx="157162" cy="481012"/>
          <a:chOff x="6719888" y="876301"/>
          <a:chExt cx="171450" cy="447674"/>
        </a:xfrm>
      </xdr:grpSpPr>
      <xdr:cxnSp macro="">
        <xdr:nvCxnSpPr>
          <xdr:cNvPr id="9" name="Straight Arrow Connector 8">
            <a:extLst>
              <a:ext uri="{FF2B5EF4-FFF2-40B4-BE49-F238E27FC236}">
                <a16:creationId xmlns:a16="http://schemas.microsoft.com/office/drawing/2014/main" id="{691164F2-3CB4-EEB9-E06C-FE3EE04B9984}"/>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1CD02E54-18CD-A238-A96A-1D712091B426}"/>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33338</xdr:colOff>
      <xdr:row>10</xdr:row>
      <xdr:rowOff>52387</xdr:rowOff>
    </xdr:from>
    <xdr:to>
      <xdr:col>11</xdr:col>
      <xdr:colOff>19050</xdr:colOff>
      <xdr:row>12</xdr:row>
      <xdr:rowOff>161924</xdr:rowOff>
    </xdr:to>
    <xdr:grpSp>
      <xdr:nvGrpSpPr>
        <xdr:cNvPr id="11" name="Group 10">
          <a:extLst>
            <a:ext uri="{FF2B5EF4-FFF2-40B4-BE49-F238E27FC236}">
              <a16:creationId xmlns:a16="http://schemas.microsoft.com/office/drawing/2014/main" id="{B0EFAF47-5076-41DE-BA1A-0C3BA900E81C}"/>
            </a:ext>
          </a:extLst>
        </xdr:cNvPr>
        <xdr:cNvGrpSpPr/>
      </xdr:nvGrpSpPr>
      <xdr:grpSpPr>
        <a:xfrm>
          <a:off x="5961698" y="1698307"/>
          <a:ext cx="168592" cy="467677"/>
          <a:chOff x="6719888" y="876301"/>
          <a:chExt cx="171450" cy="447674"/>
        </a:xfrm>
      </xdr:grpSpPr>
      <xdr:cxnSp macro="">
        <xdr:nvCxnSpPr>
          <xdr:cNvPr id="12" name="Straight Arrow Connector 11">
            <a:extLst>
              <a:ext uri="{FF2B5EF4-FFF2-40B4-BE49-F238E27FC236}">
                <a16:creationId xmlns:a16="http://schemas.microsoft.com/office/drawing/2014/main" id="{04C62EFD-29DE-9AF3-7538-E8A879E8E6F5}"/>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Straight Arrow Connector 12">
            <a:extLst>
              <a:ext uri="{FF2B5EF4-FFF2-40B4-BE49-F238E27FC236}">
                <a16:creationId xmlns:a16="http://schemas.microsoft.com/office/drawing/2014/main" id="{B30E53F4-D8E4-F0FF-3E7E-9EAF7F1C216D}"/>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33338</xdr:colOff>
      <xdr:row>4</xdr:row>
      <xdr:rowOff>152401</xdr:rowOff>
    </xdr:from>
    <xdr:to>
      <xdr:col>19</xdr:col>
      <xdr:colOff>19050</xdr:colOff>
      <xdr:row>8</xdr:row>
      <xdr:rowOff>100012</xdr:rowOff>
    </xdr:to>
    <xdr:grpSp>
      <xdr:nvGrpSpPr>
        <xdr:cNvPr id="14" name="Group 13">
          <a:extLst>
            <a:ext uri="{FF2B5EF4-FFF2-40B4-BE49-F238E27FC236}">
              <a16:creationId xmlns:a16="http://schemas.microsoft.com/office/drawing/2014/main" id="{28F3728E-029A-4EC6-AE3D-B1248E24BF03}"/>
            </a:ext>
          </a:extLst>
        </xdr:cNvPr>
        <xdr:cNvGrpSpPr/>
      </xdr:nvGrpSpPr>
      <xdr:grpSpPr>
        <a:xfrm>
          <a:off x="8735378" y="739141"/>
          <a:ext cx="168592" cy="656271"/>
          <a:chOff x="6719888" y="876301"/>
          <a:chExt cx="171450" cy="447674"/>
        </a:xfrm>
      </xdr:grpSpPr>
      <xdr:cxnSp macro="">
        <xdr:nvCxnSpPr>
          <xdr:cNvPr id="15" name="Straight Arrow Connector 14">
            <a:extLst>
              <a:ext uri="{FF2B5EF4-FFF2-40B4-BE49-F238E27FC236}">
                <a16:creationId xmlns:a16="http://schemas.microsoft.com/office/drawing/2014/main" id="{6417E26A-48ED-090E-61B3-CE98C7E9427D}"/>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67C53415-5393-EB71-50A5-CC686A51E2C8}"/>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19051</xdr:colOff>
      <xdr:row>10</xdr:row>
      <xdr:rowOff>14287</xdr:rowOff>
    </xdr:from>
    <xdr:to>
      <xdr:col>19</xdr:col>
      <xdr:colOff>14288</xdr:colOff>
      <xdr:row>12</xdr:row>
      <xdr:rowOff>128586</xdr:rowOff>
    </xdr:to>
    <xdr:grpSp>
      <xdr:nvGrpSpPr>
        <xdr:cNvPr id="17" name="Group 16">
          <a:extLst>
            <a:ext uri="{FF2B5EF4-FFF2-40B4-BE49-F238E27FC236}">
              <a16:creationId xmlns:a16="http://schemas.microsoft.com/office/drawing/2014/main" id="{1A1DA696-551B-4854-AFDB-6344E34FDB36}"/>
            </a:ext>
          </a:extLst>
        </xdr:cNvPr>
        <xdr:cNvGrpSpPr/>
      </xdr:nvGrpSpPr>
      <xdr:grpSpPr>
        <a:xfrm>
          <a:off x="8721091" y="1660207"/>
          <a:ext cx="178117" cy="472439"/>
          <a:chOff x="6719888" y="876301"/>
          <a:chExt cx="171450" cy="447674"/>
        </a:xfrm>
      </xdr:grpSpPr>
      <xdr:cxnSp macro="">
        <xdr:nvCxnSpPr>
          <xdr:cNvPr id="18" name="Straight Arrow Connector 17">
            <a:extLst>
              <a:ext uri="{FF2B5EF4-FFF2-40B4-BE49-F238E27FC236}">
                <a16:creationId xmlns:a16="http://schemas.microsoft.com/office/drawing/2014/main" id="{13B8616B-A7A5-7581-2DF2-2248FD31D7EC}"/>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2387D1AD-6554-3886-07CA-73CBBF2665E8}"/>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26</xdr:col>
      <xdr:colOff>19050</xdr:colOff>
      <xdr:row>6</xdr:row>
      <xdr:rowOff>19050</xdr:rowOff>
    </xdr:from>
    <xdr:to>
      <xdr:col>27</xdr:col>
      <xdr:colOff>71437</xdr:colOff>
      <xdr:row>8</xdr:row>
      <xdr:rowOff>133349</xdr:rowOff>
    </xdr:to>
    <xdr:grpSp>
      <xdr:nvGrpSpPr>
        <xdr:cNvPr id="20" name="Group 19">
          <a:extLst>
            <a:ext uri="{FF2B5EF4-FFF2-40B4-BE49-F238E27FC236}">
              <a16:creationId xmlns:a16="http://schemas.microsoft.com/office/drawing/2014/main" id="{5E926C71-ED9F-4868-8D3C-23ACD409FD82}"/>
            </a:ext>
          </a:extLst>
        </xdr:cNvPr>
        <xdr:cNvGrpSpPr/>
      </xdr:nvGrpSpPr>
      <xdr:grpSpPr>
        <a:xfrm>
          <a:off x="11487150" y="956310"/>
          <a:ext cx="166687" cy="472439"/>
          <a:chOff x="6719888" y="876301"/>
          <a:chExt cx="171450" cy="447674"/>
        </a:xfrm>
      </xdr:grpSpPr>
      <xdr:cxnSp macro="">
        <xdr:nvCxnSpPr>
          <xdr:cNvPr id="21" name="Straight Arrow Connector 20">
            <a:extLst>
              <a:ext uri="{FF2B5EF4-FFF2-40B4-BE49-F238E27FC236}">
                <a16:creationId xmlns:a16="http://schemas.microsoft.com/office/drawing/2014/main" id="{B4CD8903-8BAC-C6F2-85A3-BA158762310A}"/>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272C65C1-B5A6-34BD-1C3D-32B1D4C9E890}"/>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26</xdr:col>
      <xdr:colOff>0</xdr:colOff>
      <xdr:row>10</xdr:row>
      <xdr:rowOff>76200</xdr:rowOff>
    </xdr:from>
    <xdr:to>
      <xdr:col>27</xdr:col>
      <xdr:colOff>52387</xdr:colOff>
      <xdr:row>13</xdr:row>
      <xdr:rowOff>19049</xdr:rowOff>
    </xdr:to>
    <xdr:grpSp>
      <xdr:nvGrpSpPr>
        <xdr:cNvPr id="23" name="Group 22">
          <a:extLst>
            <a:ext uri="{FF2B5EF4-FFF2-40B4-BE49-F238E27FC236}">
              <a16:creationId xmlns:a16="http://schemas.microsoft.com/office/drawing/2014/main" id="{5A30E380-0E89-46B1-B169-BB87669BE5D0}"/>
            </a:ext>
          </a:extLst>
        </xdr:cNvPr>
        <xdr:cNvGrpSpPr/>
      </xdr:nvGrpSpPr>
      <xdr:grpSpPr>
        <a:xfrm>
          <a:off x="11468100" y="1722120"/>
          <a:ext cx="166687" cy="476249"/>
          <a:chOff x="6719888" y="876301"/>
          <a:chExt cx="171450" cy="447674"/>
        </a:xfrm>
      </xdr:grpSpPr>
      <xdr:cxnSp macro="">
        <xdr:nvCxnSpPr>
          <xdr:cNvPr id="24" name="Straight Arrow Connector 23">
            <a:extLst>
              <a:ext uri="{FF2B5EF4-FFF2-40B4-BE49-F238E27FC236}">
                <a16:creationId xmlns:a16="http://schemas.microsoft.com/office/drawing/2014/main" id="{863711B9-79C6-51ED-FCA1-6570578F7673}"/>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Straight Arrow Connector 24">
            <a:extLst>
              <a:ext uri="{FF2B5EF4-FFF2-40B4-BE49-F238E27FC236}">
                <a16:creationId xmlns:a16="http://schemas.microsoft.com/office/drawing/2014/main" id="{5D73BC53-E05E-28A4-10F3-8690C29FF3AC}"/>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0</xdr:colOff>
      <xdr:row>5</xdr:row>
      <xdr:rowOff>157162</xdr:rowOff>
    </xdr:from>
    <xdr:to>
      <xdr:col>10</xdr:col>
      <xdr:colOff>161924</xdr:colOff>
      <xdr:row>8</xdr:row>
      <xdr:rowOff>100011</xdr:rowOff>
    </xdr:to>
    <xdr:grpSp>
      <xdr:nvGrpSpPr>
        <xdr:cNvPr id="26" name="Group 25">
          <a:extLst>
            <a:ext uri="{FF2B5EF4-FFF2-40B4-BE49-F238E27FC236}">
              <a16:creationId xmlns:a16="http://schemas.microsoft.com/office/drawing/2014/main" id="{5A023845-2354-4323-9C67-6D920450EBD3}"/>
            </a:ext>
          </a:extLst>
        </xdr:cNvPr>
        <xdr:cNvGrpSpPr/>
      </xdr:nvGrpSpPr>
      <xdr:grpSpPr>
        <a:xfrm>
          <a:off x="5928360" y="919162"/>
          <a:ext cx="161924" cy="476249"/>
          <a:chOff x="6719888" y="876301"/>
          <a:chExt cx="171450" cy="447674"/>
        </a:xfrm>
      </xdr:grpSpPr>
      <xdr:cxnSp macro="">
        <xdr:nvCxnSpPr>
          <xdr:cNvPr id="27" name="Straight Arrow Connector 26">
            <a:extLst>
              <a:ext uri="{FF2B5EF4-FFF2-40B4-BE49-F238E27FC236}">
                <a16:creationId xmlns:a16="http://schemas.microsoft.com/office/drawing/2014/main" id="{2608ED02-18A6-4A7A-91C5-7BA7AD675CDD}"/>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8" name="Straight Arrow Connector 27">
            <a:extLst>
              <a:ext uri="{FF2B5EF4-FFF2-40B4-BE49-F238E27FC236}">
                <a16:creationId xmlns:a16="http://schemas.microsoft.com/office/drawing/2014/main" id="{9BAB3398-2CB6-E1FE-3D2D-FF07990800FB}"/>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576263</xdr:colOff>
      <xdr:row>4</xdr:row>
      <xdr:rowOff>19050</xdr:rowOff>
    </xdr:from>
    <xdr:to>
      <xdr:col>13</xdr:col>
      <xdr:colOff>42862</xdr:colOff>
      <xdr:row>6</xdr:row>
      <xdr:rowOff>133349</xdr:rowOff>
    </xdr:to>
    <xdr:grpSp>
      <xdr:nvGrpSpPr>
        <xdr:cNvPr id="29" name="Group 28">
          <a:extLst>
            <a:ext uri="{FF2B5EF4-FFF2-40B4-BE49-F238E27FC236}">
              <a16:creationId xmlns:a16="http://schemas.microsoft.com/office/drawing/2014/main" id="{AAFE80DC-ADEC-47E1-9DF4-FE4B5B608C82}"/>
            </a:ext>
          </a:extLst>
        </xdr:cNvPr>
        <xdr:cNvGrpSpPr/>
      </xdr:nvGrpSpPr>
      <xdr:grpSpPr>
        <a:xfrm>
          <a:off x="6687503" y="605790"/>
          <a:ext cx="182879" cy="464819"/>
          <a:chOff x="6719888" y="876301"/>
          <a:chExt cx="171450" cy="447674"/>
        </a:xfrm>
      </xdr:grpSpPr>
      <xdr:cxnSp macro="">
        <xdr:nvCxnSpPr>
          <xdr:cNvPr id="30" name="Straight Arrow Connector 29">
            <a:extLst>
              <a:ext uri="{FF2B5EF4-FFF2-40B4-BE49-F238E27FC236}">
                <a16:creationId xmlns:a16="http://schemas.microsoft.com/office/drawing/2014/main" id="{73E14D4C-4ED8-26AC-F526-B9CD15BF96D0}"/>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1" name="Straight Arrow Connector 30">
            <a:extLst>
              <a:ext uri="{FF2B5EF4-FFF2-40B4-BE49-F238E27FC236}">
                <a16:creationId xmlns:a16="http://schemas.microsoft.com/office/drawing/2014/main" id="{E7A8F910-84BF-2D2F-8C5C-2B6EB3D9D37C}"/>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561975</xdr:colOff>
      <xdr:row>12</xdr:row>
      <xdr:rowOff>23813</xdr:rowOff>
    </xdr:from>
    <xdr:to>
      <xdr:col>13</xdr:col>
      <xdr:colOff>28574</xdr:colOff>
      <xdr:row>14</xdr:row>
      <xdr:rowOff>133349</xdr:rowOff>
    </xdr:to>
    <xdr:grpSp>
      <xdr:nvGrpSpPr>
        <xdr:cNvPr id="32" name="Group 31">
          <a:extLst>
            <a:ext uri="{FF2B5EF4-FFF2-40B4-BE49-F238E27FC236}">
              <a16:creationId xmlns:a16="http://schemas.microsoft.com/office/drawing/2014/main" id="{E1DD55C2-653F-4AB2-B359-C6D86628F400}"/>
            </a:ext>
          </a:extLst>
        </xdr:cNvPr>
        <xdr:cNvGrpSpPr/>
      </xdr:nvGrpSpPr>
      <xdr:grpSpPr>
        <a:xfrm>
          <a:off x="6673215" y="2027873"/>
          <a:ext cx="182879" cy="467676"/>
          <a:chOff x="6719888" y="876301"/>
          <a:chExt cx="171450" cy="447674"/>
        </a:xfrm>
      </xdr:grpSpPr>
      <xdr:cxnSp macro="">
        <xdr:nvCxnSpPr>
          <xdr:cNvPr id="33" name="Straight Arrow Connector 32">
            <a:extLst>
              <a:ext uri="{FF2B5EF4-FFF2-40B4-BE49-F238E27FC236}">
                <a16:creationId xmlns:a16="http://schemas.microsoft.com/office/drawing/2014/main" id="{3D30D16D-4324-670B-B005-E7BA156969F3}"/>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4" name="Straight Arrow Connector 33">
            <a:extLst>
              <a:ext uri="{FF2B5EF4-FFF2-40B4-BE49-F238E27FC236}">
                <a16:creationId xmlns:a16="http://schemas.microsoft.com/office/drawing/2014/main" id="{BA14DB6D-7538-4997-6E76-E09975A7B235}"/>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581026</xdr:colOff>
      <xdr:row>8</xdr:row>
      <xdr:rowOff>33337</xdr:rowOff>
    </xdr:from>
    <xdr:to>
      <xdr:col>13</xdr:col>
      <xdr:colOff>47625</xdr:colOff>
      <xdr:row>10</xdr:row>
      <xdr:rowOff>147636</xdr:rowOff>
    </xdr:to>
    <xdr:grpSp>
      <xdr:nvGrpSpPr>
        <xdr:cNvPr id="35" name="Group 34">
          <a:extLst>
            <a:ext uri="{FF2B5EF4-FFF2-40B4-BE49-F238E27FC236}">
              <a16:creationId xmlns:a16="http://schemas.microsoft.com/office/drawing/2014/main" id="{47C21088-03B0-46A9-A510-B9F38A3AB8AD}"/>
            </a:ext>
          </a:extLst>
        </xdr:cNvPr>
        <xdr:cNvGrpSpPr/>
      </xdr:nvGrpSpPr>
      <xdr:grpSpPr>
        <a:xfrm>
          <a:off x="6692266" y="1328737"/>
          <a:ext cx="182879" cy="464819"/>
          <a:chOff x="6719888" y="876301"/>
          <a:chExt cx="171450" cy="447674"/>
        </a:xfrm>
      </xdr:grpSpPr>
      <xdr:cxnSp macro="">
        <xdr:nvCxnSpPr>
          <xdr:cNvPr id="36" name="Straight Arrow Connector 35">
            <a:extLst>
              <a:ext uri="{FF2B5EF4-FFF2-40B4-BE49-F238E27FC236}">
                <a16:creationId xmlns:a16="http://schemas.microsoft.com/office/drawing/2014/main" id="{0A1BCC69-CDC2-9907-3AC1-D2E585E215D2}"/>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7" name="Straight Arrow Connector 36">
            <a:extLst>
              <a:ext uri="{FF2B5EF4-FFF2-40B4-BE49-F238E27FC236}">
                <a16:creationId xmlns:a16="http://schemas.microsoft.com/office/drawing/2014/main" id="{406C1C4B-C5C6-17B3-FB05-066DF84498D0}"/>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4763</xdr:colOff>
      <xdr:row>3</xdr:row>
      <xdr:rowOff>123825</xdr:rowOff>
    </xdr:from>
    <xdr:to>
      <xdr:col>20</xdr:col>
      <xdr:colOff>166687</xdr:colOff>
      <xdr:row>7</xdr:row>
      <xdr:rowOff>76199</xdr:rowOff>
    </xdr:to>
    <xdr:grpSp>
      <xdr:nvGrpSpPr>
        <xdr:cNvPr id="38" name="Group 37">
          <a:extLst>
            <a:ext uri="{FF2B5EF4-FFF2-40B4-BE49-F238E27FC236}">
              <a16:creationId xmlns:a16="http://schemas.microsoft.com/office/drawing/2014/main" id="{C1CEEDF3-F90B-45B7-B224-FAECF117E12D}"/>
            </a:ext>
          </a:extLst>
        </xdr:cNvPr>
        <xdr:cNvGrpSpPr/>
      </xdr:nvGrpSpPr>
      <xdr:grpSpPr>
        <a:xfrm>
          <a:off x="9415463" y="535305"/>
          <a:ext cx="161924" cy="653414"/>
          <a:chOff x="6719888" y="876301"/>
          <a:chExt cx="171450" cy="447674"/>
        </a:xfrm>
      </xdr:grpSpPr>
      <xdr:cxnSp macro="">
        <xdr:nvCxnSpPr>
          <xdr:cNvPr id="39" name="Straight Arrow Connector 38">
            <a:extLst>
              <a:ext uri="{FF2B5EF4-FFF2-40B4-BE49-F238E27FC236}">
                <a16:creationId xmlns:a16="http://schemas.microsoft.com/office/drawing/2014/main" id="{2DCF8DE8-7A70-0A16-A195-DDB31523B9FA}"/>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0" name="Straight Arrow Connector 39">
            <a:extLst>
              <a:ext uri="{FF2B5EF4-FFF2-40B4-BE49-F238E27FC236}">
                <a16:creationId xmlns:a16="http://schemas.microsoft.com/office/drawing/2014/main" id="{0AED3013-0AF6-9E36-6032-E6E1FB49F0F0}"/>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23812</xdr:colOff>
      <xdr:row>7</xdr:row>
      <xdr:rowOff>114300</xdr:rowOff>
    </xdr:from>
    <xdr:to>
      <xdr:col>21</xdr:col>
      <xdr:colOff>9524</xdr:colOff>
      <xdr:row>11</xdr:row>
      <xdr:rowOff>57149</xdr:rowOff>
    </xdr:to>
    <xdr:grpSp>
      <xdr:nvGrpSpPr>
        <xdr:cNvPr id="41" name="Group 40">
          <a:extLst>
            <a:ext uri="{FF2B5EF4-FFF2-40B4-BE49-F238E27FC236}">
              <a16:creationId xmlns:a16="http://schemas.microsoft.com/office/drawing/2014/main" id="{934ED8A3-6B1B-425A-A6CC-2A9B0179C71E}"/>
            </a:ext>
          </a:extLst>
        </xdr:cNvPr>
        <xdr:cNvGrpSpPr/>
      </xdr:nvGrpSpPr>
      <xdr:grpSpPr>
        <a:xfrm>
          <a:off x="9434512" y="1226820"/>
          <a:ext cx="168592" cy="659129"/>
          <a:chOff x="6719888" y="876301"/>
          <a:chExt cx="171450" cy="447674"/>
        </a:xfrm>
      </xdr:grpSpPr>
      <xdr:cxnSp macro="">
        <xdr:nvCxnSpPr>
          <xdr:cNvPr id="42" name="Straight Arrow Connector 41">
            <a:extLst>
              <a:ext uri="{FF2B5EF4-FFF2-40B4-BE49-F238E27FC236}">
                <a16:creationId xmlns:a16="http://schemas.microsoft.com/office/drawing/2014/main" id="{782AF83A-BCC1-7446-404C-1EFD5DA041BE}"/>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Straight Arrow Connector 42">
            <a:extLst>
              <a:ext uri="{FF2B5EF4-FFF2-40B4-BE49-F238E27FC236}">
                <a16:creationId xmlns:a16="http://schemas.microsoft.com/office/drawing/2014/main" id="{7C87069E-3613-E085-E5DE-CA8154A9DC0E}"/>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9525</xdr:colOff>
      <xdr:row>11</xdr:row>
      <xdr:rowOff>157163</xdr:rowOff>
    </xdr:from>
    <xdr:to>
      <xdr:col>20</xdr:col>
      <xdr:colOff>171449</xdr:colOff>
      <xdr:row>15</xdr:row>
      <xdr:rowOff>104775</xdr:rowOff>
    </xdr:to>
    <xdr:grpSp>
      <xdr:nvGrpSpPr>
        <xdr:cNvPr id="44" name="Group 43">
          <a:extLst>
            <a:ext uri="{FF2B5EF4-FFF2-40B4-BE49-F238E27FC236}">
              <a16:creationId xmlns:a16="http://schemas.microsoft.com/office/drawing/2014/main" id="{2C4B604B-9BC1-4943-841A-E8C3151006FE}"/>
            </a:ext>
          </a:extLst>
        </xdr:cNvPr>
        <xdr:cNvGrpSpPr/>
      </xdr:nvGrpSpPr>
      <xdr:grpSpPr>
        <a:xfrm>
          <a:off x="9420225" y="1985963"/>
          <a:ext cx="161924" cy="656272"/>
          <a:chOff x="6719888" y="876301"/>
          <a:chExt cx="171450" cy="447674"/>
        </a:xfrm>
      </xdr:grpSpPr>
      <xdr:cxnSp macro="">
        <xdr:nvCxnSpPr>
          <xdr:cNvPr id="45" name="Straight Arrow Connector 44">
            <a:extLst>
              <a:ext uri="{FF2B5EF4-FFF2-40B4-BE49-F238E27FC236}">
                <a16:creationId xmlns:a16="http://schemas.microsoft.com/office/drawing/2014/main" id="{163EE482-9BAD-ECC9-AF26-0E71E5ECDC8D}"/>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6" name="Straight Arrow Connector 45">
            <a:extLst>
              <a:ext uri="{FF2B5EF4-FFF2-40B4-BE49-F238E27FC236}">
                <a16:creationId xmlns:a16="http://schemas.microsoft.com/office/drawing/2014/main" id="{60A7F967-993D-4128-EB96-9AA4419728B0}"/>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28</xdr:col>
      <xdr:colOff>19050</xdr:colOff>
      <xdr:row>4</xdr:row>
      <xdr:rowOff>19050</xdr:rowOff>
    </xdr:from>
    <xdr:to>
      <xdr:col>29</xdr:col>
      <xdr:colOff>71437</xdr:colOff>
      <xdr:row>6</xdr:row>
      <xdr:rowOff>133349</xdr:rowOff>
    </xdr:to>
    <xdr:grpSp>
      <xdr:nvGrpSpPr>
        <xdr:cNvPr id="47" name="Group 46">
          <a:extLst>
            <a:ext uri="{FF2B5EF4-FFF2-40B4-BE49-F238E27FC236}">
              <a16:creationId xmlns:a16="http://schemas.microsoft.com/office/drawing/2014/main" id="{280445EE-90C8-46D4-B7F8-03F554E99988}"/>
            </a:ext>
          </a:extLst>
        </xdr:cNvPr>
        <xdr:cNvGrpSpPr/>
      </xdr:nvGrpSpPr>
      <xdr:grpSpPr>
        <a:xfrm>
          <a:off x="12127230" y="605790"/>
          <a:ext cx="235267" cy="464819"/>
          <a:chOff x="6719888" y="876301"/>
          <a:chExt cx="171450" cy="447674"/>
        </a:xfrm>
      </xdr:grpSpPr>
      <xdr:cxnSp macro="">
        <xdr:nvCxnSpPr>
          <xdr:cNvPr id="48" name="Straight Arrow Connector 47">
            <a:extLst>
              <a:ext uri="{FF2B5EF4-FFF2-40B4-BE49-F238E27FC236}">
                <a16:creationId xmlns:a16="http://schemas.microsoft.com/office/drawing/2014/main" id="{B150AED1-8D5F-AB10-83B2-CB136899497E}"/>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9" name="Straight Arrow Connector 48">
            <a:extLst>
              <a:ext uri="{FF2B5EF4-FFF2-40B4-BE49-F238E27FC236}">
                <a16:creationId xmlns:a16="http://schemas.microsoft.com/office/drawing/2014/main" id="{3A6FCA42-581C-91DD-49A1-D70BE7A88285}"/>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28</xdr:col>
      <xdr:colOff>19050</xdr:colOff>
      <xdr:row>8</xdr:row>
      <xdr:rowOff>19050</xdr:rowOff>
    </xdr:from>
    <xdr:to>
      <xdr:col>29</xdr:col>
      <xdr:colOff>71437</xdr:colOff>
      <xdr:row>10</xdr:row>
      <xdr:rowOff>133349</xdr:rowOff>
    </xdr:to>
    <xdr:grpSp>
      <xdr:nvGrpSpPr>
        <xdr:cNvPr id="50" name="Group 49">
          <a:extLst>
            <a:ext uri="{FF2B5EF4-FFF2-40B4-BE49-F238E27FC236}">
              <a16:creationId xmlns:a16="http://schemas.microsoft.com/office/drawing/2014/main" id="{1F5830B6-06D9-4BD9-9ABA-DFE443806632}"/>
            </a:ext>
          </a:extLst>
        </xdr:cNvPr>
        <xdr:cNvGrpSpPr/>
      </xdr:nvGrpSpPr>
      <xdr:grpSpPr>
        <a:xfrm>
          <a:off x="12127230" y="1314450"/>
          <a:ext cx="235267" cy="464819"/>
          <a:chOff x="6719888" y="876301"/>
          <a:chExt cx="171450" cy="447674"/>
        </a:xfrm>
      </xdr:grpSpPr>
      <xdr:cxnSp macro="">
        <xdr:nvCxnSpPr>
          <xdr:cNvPr id="51" name="Straight Arrow Connector 50">
            <a:extLst>
              <a:ext uri="{FF2B5EF4-FFF2-40B4-BE49-F238E27FC236}">
                <a16:creationId xmlns:a16="http://schemas.microsoft.com/office/drawing/2014/main" id="{80EDA708-75AB-770B-B8BC-5C345004E6A6}"/>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2" name="Straight Arrow Connector 51">
            <a:extLst>
              <a:ext uri="{FF2B5EF4-FFF2-40B4-BE49-F238E27FC236}">
                <a16:creationId xmlns:a16="http://schemas.microsoft.com/office/drawing/2014/main" id="{CD301D25-947D-9B0C-AFB6-F109660F8B65}"/>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28</xdr:col>
      <xdr:colOff>19050</xdr:colOff>
      <xdr:row>12</xdr:row>
      <xdr:rowOff>19050</xdr:rowOff>
    </xdr:from>
    <xdr:to>
      <xdr:col>29</xdr:col>
      <xdr:colOff>71437</xdr:colOff>
      <xdr:row>14</xdr:row>
      <xdr:rowOff>133349</xdr:rowOff>
    </xdr:to>
    <xdr:grpSp>
      <xdr:nvGrpSpPr>
        <xdr:cNvPr id="53" name="Group 52">
          <a:extLst>
            <a:ext uri="{FF2B5EF4-FFF2-40B4-BE49-F238E27FC236}">
              <a16:creationId xmlns:a16="http://schemas.microsoft.com/office/drawing/2014/main" id="{DE42F658-1770-4575-B4A2-356489F43242}"/>
            </a:ext>
          </a:extLst>
        </xdr:cNvPr>
        <xdr:cNvGrpSpPr/>
      </xdr:nvGrpSpPr>
      <xdr:grpSpPr>
        <a:xfrm>
          <a:off x="12127230" y="2023110"/>
          <a:ext cx="235267" cy="472439"/>
          <a:chOff x="6719888" y="876301"/>
          <a:chExt cx="171450" cy="447674"/>
        </a:xfrm>
      </xdr:grpSpPr>
      <xdr:cxnSp macro="">
        <xdr:nvCxnSpPr>
          <xdr:cNvPr id="54" name="Straight Arrow Connector 53">
            <a:extLst>
              <a:ext uri="{FF2B5EF4-FFF2-40B4-BE49-F238E27FC236}">
                <a16:creationId xmlns:a16="http://schemas.microsoft.com/office/drawing/2014/main" id="{BBE76C32-3538-1542-097E-8F87DF001CB0}"/>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1C5EA9C8-A2AE-B48E-5D97-4E41EA668592}"/>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11</xdr:col>
      <xdr:colOff>22860</xdr:colOff>
      <xdr:row>20</xdr:row>
      <xdr:rowOff>30480</xdr:rowOff>
    </xdr:from>
    <xdr:to>
      <xdr:col>31</xdr:col>
      <xdr:colOff>84416</xdr:colOff>
      <xdr:row>25</xdr:row>
      <xdr:rowOff>129625</xdr:rowOff>
    </xdr:to>
    <xdr:pic>
      <xdr:nvPicPr>
        <xdr:cNvPr id="56" name="Picture 55">
          <a:extLst>
            <a:ext uri="{FF2B5EF4-FFF2-40B4-BE49-F238E27FC236}">
              <a16:creationId xmlns:a16="http://schemas.microsoft.com/office/drawing/2014/main" id="{AC07F780-0E3D-B080-A8DD-73264239F7B2}"/>
            </a:ext>
          </a:extLst>
        </xdr:cNvPr>
        <xdr:cNvPicPr>
          <a:picLocks noChangeAspect="1"/>
        </xdr:cNvPicPr>
      </xdr:nvPicPr>
      <xdr:blipFill>
        <a:blip xmlns:r="http://schemas.openxmlformats.org/officeDocument/2006/relationships" r:embed="rId1"/>
        <a:stretch>
          <a:fillRect/>
        </a:stretch>
      </xdr:blipFill>
      <xdr:spPr>
        <a:xfrm>
          <a:off x="6134100" y="3451860"/>
          <a:ext cx="6881456" cy="97544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7</xdr:col>
      <xdr:colOff>14288</xdr:colOff>
      <xdr:row>8</xdr:row>
      <xdr:rowOff>42863</xdr:rowOff>
    </xdr:from>
    <xdr:to>
      <xdr:col>8</xdr:col>
      <xdr:colOff>0</xdr:colOff>
      <xdr:row>10</xdr:row>
      <xdr:rowOff>157162</xdr:rowOff>
    </xdr:to>
    <xdr:grpSp>
      <xdr:nvGrpSpPr>
        <xdr:cNvPr id="2" name="Group 1">
          <a:extLst>
            <a:ext uri="{FF2B5EF4-FFF2-40B4-BE49-F238E27FC236}">
              <a16:creationId xmlns:a16="http://schemas.microsoft.com/office/drawing/2014/main" id="{3186786F-B867-4963-A231-D2C31058605C}"/>
            </a:ext>
          </a:extLst>
        </xdr:cNvPr>
        <xdr:cNvGrpSpPr/>
      </xdr:nvGrpSpPr>
      <xdr:grpSpPr>
        <a:xfrm>
          <a:off x="4708208" y="1338263"/>
          <a:ext cx="168592" cy="464819"/>
          <a:chOff x="6719888" y="876301"/>
          <a:chExt cx="171450" cy="447674"/>
        </a:xfrm>
      </xdr:grpSpPr>
      <xdr:cxnSp macro="">
        <xdr:nvCxnSpPr>
          <xdr:cNvPr id="3" name="Straight Arrow Connector 2">
            <a:extLst>
              <a:ext uri="{FF2B5EF4-FFF2-40B4-BE49-F238E27FC236}">
                <a16:creationId xmlns:a16="http://schemas.microsoft.com/office/drawing/2014/main" id="{CA1BCDC4-DE31-403C-34CE-9CD7CDB09B1F}"/>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3">
            <a:extLst>
              <a:ext uri="{FF2B5EF4-FFF2-40B4-BE49-F238E27FC236}">
                <a16:creationId xmlns:a16="http://schemas.microsoft.com/office/drawing/2014/main" id="{A6B872EA-2019-5498-1A9E-147B307970B8}"/>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16</xdr:col>
      <xdr:colOff>19051</xdr:colOff>
      <xdr:row>8</xdr:row>
      <xdr:rowOff>14287</xdr:rowOff>
    </xdr:from>
    <xdr:to>
      <xdr:col>17</xdr:col>
      <xdr:colOff>14288</xdr:colOff>
      <xdr:row>10</xdr:row>
      <xdr:rowOff>128586</xdr:rowOff>
    </xdr:to>
    <xdr:grpSp>
      <xdr:nvGrpSpPr>
        <xdr:cNvPr id="5" name="Group 4">
          <a:extLst>
            <a:ext uri="{FF2B5EF4-FFF2-40B4-BE49-F238E27FC236}">
              <a16:creationId xmlns:a16="http://schemas.microsoft.com/office/drawing/2014/main" id="{F0FBDAC6-C37B-4E66-A93D-2ADC7967B0C1}"/>
            </a:ext>
          </a:extLst>
        </xdr:cNvPr>
        <xdr:cNvGrpSpPr/>
      </xdr:nvGrpSpPr>
      <xdr:grpSpPr>
        <a:xfrm>
          <a:off x="8012431" y="1309687"/>
          <a:ext cx="178117" cy="464819"/>
          <a:chOff x="6719888" y="876301"/>
          <a:chExt cx="171450" cy="447674"/>
        </a:xfrm>
      </xdr:grpSpPr>
      <xdr:cxnSp macro="">
        <xdr:nvCxnSpPr>
          <xdr:cNvPr id="6" name="Straight Arrow Connector 5">
            <a:extLst>
              <a:ext uri="{FF2B5EF4-FFF2-40B4-BE49-F238E27FC236}">
                <a16:creationId xmlns:a16="http://schemas.microsoft.com/office/drawing/2014/main" id="{2666F189-956E-6E52-8BAA-C552AAB68506}"/>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B3526F66-61B4-58FA-77C2-B714A4DBE8F3}"/>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24</xdr:col>
      <xdr:colOff>9526</xdr:colOff>
      <xdr:row>8</xdr:row>
      <xdr:rowOff>57150</xdr:rowOff>
    </xdr:from>
    <xdr:to>
      <xdr:col>24</xdr:col>
      <xdr:colOff>166688</xdr:colOff>
      <xdr:row>11</xdr:row>
      <xdr:rowOff>4762</xdr:rowOff>
    </xdr:to>
    <xdr:grpSp>
      <xdr:nvGrpSpPr>
        <xdr:cNvPr id="8" name="Group 7">
          <a:extLst>
            <a:ext uri="{FF2B5EF4-FFF2-40B4-BE49-F238E27FC236}">
              <a16:creationId xmlns:a16="http://schemas.microsoft.com/office/drawing/2014/main" id="{CCA0D817-BE60-48C9-9D16-94268D1D158B}"/>
            </a:ext>
          </a:extLst>
        </xdr:cNvPr>
        <xdr:cNvGrpSpPr/>
      </xdr:nvGrpSpPr>
      <xdr:grpSpPr>
        <a:xfrm>
          <a:off x="10768966" y="1352550"/>
          <a:ext cx="157162" cy="481012"/>
          <a:chOff x="6719888" y="876301"/>
          <a:chExt cx="171450" cy="447674"/>
        </a:xfrm>
      </xdr:grpSpPr>
      <xdr:cxnSp macro="">
        <xdr:nvCxnSpPr>
          <xdr:cNvPr id="9" name="Straight Arrow Connector 8">
            <a:extLst>
              <a:ext uri="{FF2B5EF4-FFF2-40B4-BE49-F238E27FC236}">
                <a16:creationId xmlns:a16="http://schemas.microsoft.com/office/drawing/2014/main" id="{D6714E1E-5AD6-F865-1FD4-2A1009912A38}"/>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E5E44D06-3B95-76BD-1808-58A90B994EFF}"/>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33338</xdr:colOff>
      <xdr:row>10</xdr:row>
      <xdr:rowOff>52387</xdr:rowOff>
    </xdr:from>
    <xdr:to>
      <xdr:col>11</xdr:col>
      <xdr:colOff>19050</xdr:colOff>
      <xdr:row>12</xdr:row>
      <xdr:rowOff>161924</xdr:rowOff>
    </xdr:to>
    <xdr:grpSp>
      <xdr:nvGrpSpPr>
        <xdr:cNvPr id="11" name="Group 10">
          <a:extLst>
            <a:ext uri="{FF2B5EF4-FFF2-40B4-BE49-F238E27FC236}">
              <a16:creationId xmlns:a16="http://schemas.microsoft.com/office/drawing/2014/main" id="{80FAEFBA-EDD8-41B0-B7C7-507308B374DF}"/>
            </a:ext>
          </a:extLst>
        </xdr:cNvPr>
        <xdr:cNvGrpSpPr/>
      </xdr:nvGrpSpPr>
      <xdr:grpSpPr>
        <a:xfrm>
          <a:off x="5961698" y="1698307"/>
          <a:ext cx="168592" cy="467677"/>
          <a:chOff x="6719888" y="876301"/>
          <a:chExt cx="171450" cy="447674"/>
        </a:xfrm>
      </xdr:grpSpPr>
      <xdr:cxnSp macro="">
        <xdr:nvCxnSpPr>
          <xdr:cNvPr id="12" name="Straight Arrow Connector 11">
            <a:extLst>
              <a:ext uri="{FF2B5EF4-FFF2-40B4-BE49-F238E27FC236}">
                <a16:creationId xmlns:a16="http://schemas.microsoft.com/office/drawing/2014/main" id="{B6FE25EB-3773-E9D4-C75C-342CDC6736E3}"/>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Straight Arrow Connector 12">
            <a:extLst>
              <a:ext uri="{FF2B5EF4-FFF2-40B4-BE49-F238E27FC236}">
                <a16:creationId xmlns:a16="http://schemas.microsoft.com/office/drawing/2014/main" id="{55CD34B9-AD08-A3CE-4077-A5998B7FE60E}"/>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33338</xdr:colOff>
      <xdr:row>4</xdr:row>
      <xdr:rowOff>152401</xdr:rowOff>
    </xdr:from>
    <xdr:to>
      <xdr:col>19</xdr:col>
      <xdr:colOff>19050</xdr:colOff>
      <xdr:row>8</xdr:row>
      <xdr:rowOff>100012</xdr:rowOff>
    </xdr:to>
    <xdr:grpSp>
      <xdr:nvGrpSpPr>
        <xdr:cNvPr id="14" name="Group 13">
          <a:extLst>
            <a:ext uri="{FF2B5EF4-FFF2-40B4-BE49-F238E27FC236}">
              <a16:creationId xmlns:a16="http://schemas.microsoft.com/office/drawing/2014/main" id="{22E481BD-713F-446C-BC5A-806BA11D4B76}"/>
            </a:ext>
          </a:extLst>
        </xdr:cNvPr>
        <xdr:cNvGrpSpPr/>
      </xdr:nvGrpSpPr>
      <xdr:grpSpPr>
        <a:xfrm>
          <a:off x="8735378" y="739141"/>
          <a:ext cx="168592" cy="656271"/>
          <a:chOff x="6719888" y="876301"/>
          <a:chExt cx="171450" cy="447674"/>
        </a:xfrm>
      </xdr:grpSpPr>
      <xdr:cxnSp macro="">
        <xdr:nvCxnSpPr>
          <xdr:cNvPr id="15" name="Straight Arrow Connector 14">
            <a:extLst>
              <a:ext uri="{FF2B5EF4-FFF2-40B4-BE49-F238E27FC236}">
                <a16:creationId xmlns:a16="http://schemas.microsoft.com/office/drawing/2014/main" id="{695B3294-7B54-565D-2E20-E994A0B289A7}"/>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BB1D9979-3E85-82CB-C49E-47A4D9E83728}"/>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19051</xdr:colOff>
      <xdr:row>10</xdr:row>
      <xdr:rowOff>14287</xdr:rowOff>
    </xdr:from>
    <xdr:to>
      <xdr:col>19</xdr:col>
      <xdr:colOff>14288</xdr:colOff>
      <xdr:row>12</xdr:row>
      <xdr:rowOff>128586</xdr:rowOff>
    </xdr:to>
    <xdr:grpSp>
      <xdr:nvGrpSpPr>
        <xdr:cNvPr id="17" name="Group 16">
          <a:extLst>
            <a:ext uri="{FF2B5EF4-FFF2-40B4-BE49-F238E27FC236}">
              <a16:creationId xmlns:a16="http://schemas.microsoft.com/office/drawing/2014/main" id="{7E218A2C-2B73-4C5C-97D6-E017709AF610}"/>
            </a:ext>
          </a:extLst>
        </xdr:cNvPr>
        <xdr:cNvGrpSpPr/>
      </xdr:nvGrpSpPr>
      <xdr:grpSpPr>
        <a:xfrm>
          <a:off x="8721091" y="1660207"/>
          <a:ext cx="178117" cy="472439"/>
          <a:chOff x="6719888" y="876301"/>
          <a:chExt cx="171450" cy="447674"/>
        </a:xfrm>
      </xdr:grpSpPr>
      <xdr:cxnSp macro="">
        <xdr:nvCxnSpPr>
          <xdr:cNvPr id="18" name="Straight Arrow Connector 17">
            <a:extLst>
              <a:ext uri="{FF2B5EF4-FFF2-40B4-BE49-F238E27FC236}">
                <a16:creationId xmlns:a16="http://schemas.microsoft.com/office/drawing/2014/main" id="{57F79158-F5FF-09D8-CD65-DA7597486759}"/>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DA657283-04D4-0110-2291-C620A50348E0}"/>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26</xdr:col>
      <xdr:colOff>19050</xdr:colOff>
      <xdr:row>6</xdr:row>
      <xdr:rowOff>19050</xdr:rowOff>
    </xdr:from>
    <xdr:to>
      <xdr:col>27</xdr:col>
      <xdr:colOff>71437</xdr:colOff>
      <xdr:row>8</xdr:row>
      <xdr:rowOff>133349</xdr:rowOff>
    </xdr:to>
    <xdr:grpSp>
      <xdr:nvGrpSpPr>
        <xdr:cNvPr id="20" name="Group 19">
          <a:extLst>
            <a:ext uri="{FF2B5EF4-FFF2-40B4-BE49-F238E27FC236}">
              <a16:creationId xmlns:a16="http://schemas.microsoft.com/office/drawing/2014/main" id="{A5D41CD1-4078-4DBB-BA2E-1D9646AC43CE}"/>
            </a:ext>
          </a:extLst>
        </xdr:cNvPr>
        <xdr:cNvGrpSpPr/>
      </xdr:nvGrpSpPr>
      <xdr:grpSpPr>
        <a:xfrm>
          <a:off x="11487150" y="956310"/>
          <a:ext cx="166687" cy="472439"/>
          <a:chOff x="6719888" y="876301"/>
          <a:chExt cx="171450" cy="447674"/>
        </a:xfrm>
      </xdr:grpSpPr>
      <xdr:cxnSp macro="">
        <xdr:nvCxnSpPr>
          <xdr:cNvPr id="21" name="Straight Arrow Connector 20">
            <a:extLst>
              <a:ext uri="{FF2B5EF4-FFF2-40B4-BE49-F238E27FC236}">
                <a16:creationId xmlns:a16="http://schemas.microsoft.com/office/drawing/2014/main" id="{A77C4603-8D0F-F445-BDD1-64453A1A4FBB}"/>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7B70CE35-EC4C-47D4-687E-B4A9CAD89E7A}"/>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26</xdr:col>
      <xdr:colOff>0</xdr:colOff>
      <xdr:row>10</xdr:row>
      <xdr:rowOff>76200</xdr:rowOff>
    </xdr:from>
    <xdr:to>
      <xdr:col>27</xdr:col>
      <xdr:colOff>52387</xdr:colOff>
      <xdr:row>13</xdr:row>
      <xdr:rowOff>19049</xdr:rowOff>
    </xdr:to>
    <xdr:grpSp>
      <xdr:nvGrpSpPr>
        <xdr:cNvPr id="23" name="Group 22">
          <a:extLst>
            <a:ext uri="{FF2B5EF4-FFF2-40B4-BE49-F238E27FC236}">
              <a16:creationId xmlns:a16="http://schemas.microsoft.com/office/drawing/2014/main" id="{3630D99D-D4A0-4B0C-B253-E6321C675415}"/>
            </a:ext>
          </a:extLst>
        </xdr:cNvPr>
        <xdr:cNvGrpSpPr/>
      </xdr:nvGrpSpPr>
      <xdr:grpSpPr>
        <a:xfrm>
          <a:off x="11468100" y="1722120"/>
          <a:ext cx="166687" cy="476249"/>
          <a:chOff x="6719888" y="876301"/>
          <a:chExt cx="171450" cy="447674"/>
        </a:xfrm>
      </xdr:grpSpPr>
      <xdr:cxnSp macro="">
        <xdr:nvCxnSpPr>
          <xdr:cNvPr id="24" name="Straight Arrow Connector 23">
            <a:extLst>
              <a:ext uri="{FF2B5EF4-FFF2-40B4-BE49-F238E27FC236}">
                <a16:creationId xmlns:a16="http://schemas.microsoft.com/office/drawing/2014/main" id="{04FCFA1C-9C10-FB7C-7C00-6F4CDA654C94}"/>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Straight Arrow Connector 24">
            <a:extLst>
              <a:ext uri="{FF2B5EF4-FFF2-40B4-BE49-F238E27FC236}">
                <a16:creationId xmlns:a16="http://schemas.microsoft.com/office/drawing/2014/main" id="{C2BF10BF-EDA4-6234-DF55-325A2A1C2116}"/>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0</xdr:colOff>
      <xdr:row>5</xdr:row>
      <xdr:rowOff>157162</xdr:rowOff>
    </xdr:from>
    <xdr:to>
      <xdr:col>10</xdr:col>
      <xdr:colOff>161924</xdr:colOff>
      <xdr:row>8</xdr:row>
      <xdr:rowOff>100011</xdr:rowOff>
    </xdr:to>
    <xdr:grpSp>
      <xdr:nvGrpSpPr>
        <xdr:cNvPr id="26" name="Group 25">
          <a:extLst>
            <a:ext uri="{FF2B5EF4-FFF2-40B4-BE49-F238E27FC236}">
              <a16:creationId xmlns:a16="http://schemas.microsoft.com/office/drawing/2014/main" id="{449D45DB-731E-4722-816E-63FBD4F91D02}"/>
            </a:ext>
          </a:extLst>
        </xdr:cNvPr>
        <xdr:cNvGrpSpPr/>
      </xdr:nvGrpSpPr>
      <xdr:grpSpPr>
        <a:xfrm>
          <a:off x="5928360" y="919162"/>
          <a:ext cx="161924" cy="476249"/>
          <a:chOff x="6719888" y="876301"/>
          <a:chExt cx="171450" cy="447674"/>
        </a:xfrm>
      </xdr:grpSpPr>
      <xdr:cxnSp macro="">
        <xdr:nvCxnSpPr>
          <xdr:cNvPr id="27" name="Straight Arrow Connector 26">
            <a:extLst>
              <a:ext uri="{FF2B5EF4-FFF2-40B4-BE49-F238E27FC236}">
                <a16:creationId xmlns:a16="http://schemas.microsoft.com/office/drawing/2014/main" id="{5700638B-FC75-8A56-7A58-274150A654AF}"/>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8" name="Straight Arrow Connector 27">
            <a:extLst>
              <a:ext uri="{FF2B5EF4-FFF2-40B4-BE49-F238E27FC236}">
                <a16:creationId xmlns:a16="http://schemas.microsoft.com/office/drawing/2014/main" id="{2B0BEB50-861B-0D5A-E6E6-3BED388F59C0}"/>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576263</xdr:colOff>
      <xdr:row>4</xdr:row>
      <xdr:rowOff>19050</xdr:rowOff>
    </xdr:from>
    <xdr:to>
      <xdr:col>13</xdr:col>
      <xdr:colOff>42862</xdr:colOff>
      <xdr:row>6</xdr:row>
      <xdr:rowOff>133349</xdr:rowOff>
    </xdr:to>
    <xdr:grpSp>
      <xdr:nvGrpSpPr>
        <xdr:cNvPr id="29" name="Group 28">
          <a:extLst>
            <a:ext uri="{FF2B5EF4-FFF2-40B4-BE49-F238E27FC236}">
              <a16:creationId xmlns:a16="http://schemas.microsoft.com/office/drawing/2014/main" id="{01AB2473-A96D-4FB0-AE18-C1D63FC7553A}"/>
            </a:ext>
          </a:extLst>
        </xdr:cNvPr>
        <xdr:cNvGrpSpPr/>
      </xdr:nvGrpSpPr>
      <xdr:grpSpPr>
        <a:xfrm>
          <a:off x="6687503" y="605790"/>
          <a:ext cx="182879" cy="464819"/>
          <a:chOff x="6719888" y="876301"/>
          <a:chExt cx="171450" cy="447674"/>
        </a:xfrm>
      </xdr:grpSpPr>
      <xdr:cxnSp macro="">
        <xdr:nvCxnSpPr>
          <xdr:cNvPr id="30" name="Straight Arrow Connector 29">
            <a:extLst>
              <a:ext uri="{FF2B5EF4-FFF2-40B4-BE49-F238E27FC236}">
                <a16:creationId xmlns:a16="http://schemas.microsoft.com/office/drawing/2014/main" id="{BF4B6680-D512-7442-F000-538A26231AC5}"/>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1" name="Straight Arrow Connector 30">
            <a:extLst>
              <a:ext uri="{FF2B5EF4-FFF2-40B4-BE49-F238E27FC236}">
                <a16:creationId xmlns:a16="http://schemas.microsoft.com/office/drawing/2014/main" id="{2636B28D-7CC2-B5A8-71DF-06435DA17104}"/>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561975</xdr:colOff>
      <xdr:row>12</xdr:row>
      <xdr:rowOff>23813</xdr:rowOff>
    </xdr:from>
    <xdr:to>
      <xdr:col>13</xdr:col>
      <xdr:colOff>28574</xdr:colOff>
      <xdr:row>14</xdr:row>
      <xdr:rowOff>133349</xdr:rowOff>
    </xdr:to>
    <xdr:grpSp>
      <xdr:nvGrpSpPr>
        <xdr:cNvPr id="32" name="Group 31">
          <a:extLst>
            <a:ext uri="{FF2B5EF4-FFF2-40B4-BE49-F238E27FC236}">
              <a16:creationId xmlns:a16="http://schemas.microsoft.com/office/drawing/2014/main" id="{B1EBC1F0-21E1-4431-8EEE-46FD21FA566D}"/>
            </a:ext>
          </a:extLst>
        </xdr:cNvPr>
        <xdr:cNvGrpSpPr/>
      </xdr:nvGrpSpPr>
      <xdr:grpSpPr>
        <a:xfrm>
          <a:off x="6673215" y="2027873"/>
          <a:ext cx="182879" cy="467676"/>
          <a:chOff x="6719888" y="876301"/>
          <a:chExt cx="171450" cy="447674"/>
        </a:xfrm>
      </xdr:grpSpPr>
      <xdr:cxnSp macro="">
        <xdr:nvCxnSpPr>
          <xdr:cNvPr id="33" name="Straight Arrow Connector 32">
            <a:extLst>
              <a:ext uri="{FF2B5EF4-FFF2-40B4-BE49-F238E27FC236}">
                <a16:creationId xmlns:a16="http://schemas.microsoft.com/office/drawing/2014/main" id="{46401E00-0299-6252-DE09-DEBC59589DA7}"/>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4" name="Straight Arrow Connector 33">
            <a:extLst>
              <a:ext uri="{FF2B5EF4-FFF2-40B4-BE49-F238E27FC236}">
                <a16:creationId xmlns:a16="http://schemas.microsoft.com/office/drawing/2014/main" id="{AAD34D57-0299-19B4-E084-51B1848367C0}"/>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581026</xdr:colOff>
      <xdr:row>8</xdr:row>
      <xdr:rowOff>33337</xdr:rowOff>
    </xdr:from>
    <xdr:to>
      <xdr:col>13</xdr:col>
      <xdr:colOff>47625</xdr:colOff>
      <xdr:row>10</xdr:row>
      <xdr:rowOff>147636</xdr:rowOff>
    </xdr:to>
    <xdr:grpSp>
      <xdr:nvGrpSpPr>
        <xdr:cNvPr id="35" name="Group 34">
          <a:extLst>
            <a:ext uri="{FF2B5EF4-FFF2-40B4-BE49-F238E27FC236}">
              <a16:creationId xmlns:a16="http://schemas.microsoft.com/office/drawing/2014/main" id="{F67F04BA-25C0-4899-B98F-D66CE28D6C29}"/>
            </a:ext>
          </a:extLst>
        </xdr:cNvPr>
        <xdr:cNvGrpSpPr/>
      </xdr:nvGrpSpPr>
      <xdr:grpSpPr>
        <a:xfrm>
          <a:off x="6692266" y="1328737"/>
          <a:ext cx="182879" cy="464819"/>
          <a:chOff x="6719888" y="876301"/>
          <a:chExt cx="171450" cy="447674"/>
        </a:xfrm>
      </xdr:grpSpPr>
      <xdr:cxnSp macro="">
        <xdr:nvCxnSpPr>
          <xdr:cNvPr id="36" name="Straight Arrow Connector 35">
            <a:extLst>
              <a:ext uri="{FF2B5EF4-FFF2-40B4-BE49-F238E27FC236}">
                <a16:creationId xmlns:a16="http://schemas.microsoft.com/office/drawing/2014/main" id="{FE1C9851-6D83-D3C8-B0AA-4A7D6C68D907}"/>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7" name="Straight Arrow Connector 36">
            <a:extLst>
              <a:ext uri="{FF2B5EF4-FFF2-40B4-BE49-F238E27FC236}">
                <a16:creationId xmlns:a16="http://schemas.microsoft.com/office/drawing/2014/main" id="{CE56BE1B-A2BC-6202-70F9-FDF6E54B26A4}"/>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4763</xdr:colOff>
      <xdr:row>3</xdr:row>
      <xdr:rowOff>123825</xdr:rowOff>
    </xdr:from>
    <xdr:to>
      <xdr:col>20</xdr:col>
      <xdr:colOff>166687</xdr:colOff>
      <xdr:row>7</xdr:row>
      <xdr:rowOff>76199</xdr:rowOff>
    </xdr:to>
    <xdr:grpSp>
      <xdr:nvGrpSpPr>
        <xdr:cNvPr id="38" name="Group 37">
          <a:extLst>
            <a:ext uri="{FF2B5EF4-FFF2-40B4-BE49-F238E27FC236}">
              <a16:creationId xmlns:a16="http://schemas.microsoft.com/office/drawing/2014/main" id="{201D53D1-90B1-4126-A9D5-3C9D63DC9440}"/>
            </a:ext>
          </a:extLst>
        </xdr:cNvPr>
        <xdr:cNvGrpSpPr/>
      </xdr:nvGrpSpPr>
      <xdr:grpSpPr>
        <a:xfrm>
          <a:off x="9415463" y="535305"/>
          <a:ext cx="161924" cy="653414"/>
          <a:chOff x="6719888" y="876301"/>
          <a:chExt cx="171450" cy="447674"/>
        </a:xfrm>
      </xdr:grpSpPr>
      <xdr:cxnSp macro="">
        <xdr:nvCxnSpPr>
          <xdr:cNvPr id="39" name="Straight Arrow Connector 38">
            <a:extLst>
              <a:ext uri="{FF2B5EF4-FFF2-40B4-BE49-F238E27FC236}">
                <a16:creationId xmlns:a16="http://schemas.microsoft.com/office/drawing/2014/main" id="{4995FD28-DEE4-3E96-14D2-24F14F4A68A4}"/>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0" name="Straight Arrow Connector 39">
            <a:extLst>
              <a:ext uri="{FF2B5EF4-FFF2-40B4-BE49-F238E27FC236}">
                <a16:creationId xmlns:a16="http://schemas.microsoft.com/office/drawing/2014/main" id="{11AAFE1B-9C74-5EFE-3DB9-AC0FEB3443EE}"/>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23812</xdr:colOff>
      <xdr:row>7</xdr:row>
      <xdr:rowOff>114300</xdr:rowOff>
    </xdr:from>
    <xdr:to>
      <xdr:col>21</xdr:col>
      <xdr:colOff>9524</xdr:colOff>
      <xdr:row>11</xdr:row>
      <xdr:rowOff>57149</xdr:rowOff>
    </xdr:to>
    <xdr:grpSp>
      <xdr:nvGrpSpPr>
        <xdr:cNvPr id="41" name="Group 40">
          <a:extLst>
            <a:ext uri="{FF2B5EF4-FFF2-40B4-BE49-F238E27FC236}">
              <a16:creationId xmlns:a16="http://schemas.microsoft.com/office/drawing/2014/main" id="{5B3287A6-FBC7-4F4D-B769-11AF86FC0C91}"/>
            </a:ext>
          </a:extLst>
        </xdr:cNvPr>
        <xdr:cNvGrpSpPr/>
      </xdr:nvGrpSpPr>
      <xdr:grpSpPr>
        <a:xfrm>
          <a:off x="9434512" y="1226820"/>
          <a:ext cx="168592" cy="659129"/>
          <a:chOff x="6719888" y="876301"/>
          <a:chExt cx="171450" cy="447674"/>
        </a:xfrm>
      </xdr:grpSpPr>
      <xdr:cxnSp macro="">
        <xdr:nvCxnSpPr>
          <xdr:cNvPr id="42" name="Straight Arrow Connector 41">
            <a:extLst>
              <a:ext uri="{FF2B5EF4-FFF2-40B4-BE49-F238E27FC236}">
                <a16:creationId xmlns:a16="http://schemas.microsoft.com/office/drawing/2014/main" id="{92F6C2F8-423C-7621-A909-86294CACC671}"/>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Straight Arrow Connector 42">
            <a:extLst>
              <a:ext uri="{FF2B5EF4-FFF2-40B4-BE49-F238E27FC236}">
                <a16:creationId xmlns:a16="http://schemas.microsoft.com/office/drawing/2014/main" id="{4076620F-0F73-A767-D9A5-47018981E543}"/>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9525</xdr:colOff>
      <xdr:row>11</xdr:row>
      <xdr:rowOff>157163</xdr:rowOff>
    </xdr:from>
    <xdr:to>
      <xdr:col>20</xdr:col>
      <xdr:colOff>171449</xdr:colOff>
      <xdr:row>15</xdr:row>
      <xdr:rowOff>104775</xdr:rowOff>
    </xdr:to>
    <xdr:grpSp>
      <xdr:nvGrpSpPr>
        <xdr:cNvPr id="44" name="Group 43">
          <a:extLst>
            <a:ext uri="{FF2B5EF4-FFF2-40B4-BE49-F238E27FC236}">
              <a16:creationId xmlns:a16="http://schemas.microsoft.com/office/drawing/2014/main" id="{65D1A5EF-B199-484D-99E1-1278A4DFBA41}"/>
            </a:ext>
          </a:extLst>
        </xdr:cNvPr>
        <xdr:cNvGrpSpPr/>
      </xdr:nvGrpSpPr>
      <xdr:grpSpPr>
        <a:xfrm>
          <a:off x="9420225" y="1985963"/>
          <a:ext cx="161924" cy="656272"/>
          <a:chOff x="6719888" y="876301"/>
          <a:chExt cx="171450" cy="447674"/>
        </a:xfrm>
      </xdr:grpSpPr>
      <xdr:cxnSp macro="">
        <xdr:nvCxnSpPr>
          <xdr:cNvPr id="45" name="Straight Arrow Connector 44">
            <a:extLst>
              <a:ext uri="{FF2B5EF4-FFF2-40B4-BE49-F238E27FC236}">
                <a16:creationId xmlns:a16="http://schemas.microsoft.com/office/drawing/2014/main" id="{04B84711-0FE7-FC9C-7579-E2BDB3B2F192}"/>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6" name="Straight Arrow Connector 45">
            <a:extLst>
              <a:ext uri="{FF2B5EF4-FFF2-40B4-BE49-F238E27FC236}">
                <a16:creationId xmlns:a16="http://schemas.microsoft.com/office/drawing/2014/main" id="{30D54079-B401-9877-DCAB-8333DEB487C6}"/>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28</xdr:col>
      <xdr:colOff>19050</xdr:colOff>
      <xdr:row>4</xdr:row>
      <xdr:rowOff>19050</xdr:rowOff>
    </xdr:from>
    <xdr:to>
      <xdr:col>29</xdr:col>
      <xdr:colOff>71437</xdr:colOff>
      <xdr:row>6</xdr:row>
      <xdr:rowOff>133349</xdr:rowOff>
    </xdr:to>
    <xdr:grpSp>
      <xdr:nvGrpSpPr>
        <xdr:cNvPr id="47" name="Group 46">
          <a:extLst>
            <a:ext uri="{FF2B5EF4-FFF2-40B4-BE49-F238E27FC236}">
              <a16:creationId xmlns:a16="http://schemas.microsoft.com/office/drawing/2014/main" id="{5DD4B642-701D-47EF-8612-F16B54719D21}"/>
            </a:ext>
          </a:extLst>
        </xdr:cNvPr>
        <xdr:cNvGrpSpPr/>
      </xdr:nvGrpSpPr>
      <xdr:grpSpPr>
        <a:xfrm>
          <a:off x="12127230" y="605790"/>
          <a:ext cx="235267" cy="464819"/>
          <a:chOff x="6719888" y="876301"/>
          <a:chExt cx="171450" cy="447674"/>
        </a:xfrm>
      </xdr:grpSpPr>
      <xdr:cxnSp macro="">
        <xdr:nvCxnSpPr>
          <xdr:cNvPr id="48" name="Straight Arrow Connector 47">
            <a:extLst>
              <a:ext uri="{FF2B5EF4-FFF2-40B4-BE49-F238E27FC236}">
                <a16:creationId xmlns:a16="http://schemas.microsoft.com/office/drawing/2014/main" id="{357460EC-BC43-904E-419C-59C043E0B12A}"/>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9" name="Straight Arrow Connector 48">
            <a:extLst>
              <a:ext uri="{FF2B5EF4-FFF2-40B4-BE49-F238E27FC236}">
                <a16:creationId xmlns:a16="http://schemas.microsoft.com/office/drawing/2014/main" id="{30817885-8499-9948-1752-367439D2AE2B}"/>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28</xdr:col>
      <xdr:colOff>19050</xdr:colOff>
      <xdr:row>8</xdr:row>
      <xdr:rowOff>19050</xdr:rowOff>
    </xdr:from>
    <xdr:to>
      <xdr:col>29</xdr:col>
      <xdr:colOff>71437</xdr:colOff>
      <xdr:row>10</xdr:row>
      <xdr:rowOff>133349</xdr:rowOff>
    </xdr:to>
    <xdr:grpSp>
      <xdr:nvGrpSpPr>
        <xdr:cNvPr id="50" name="Group 49">
          <a:extLst>
            <a:ext uri="{FF2B5EF4-FFF2-40B4-BE49-F238E27FC236}">
              <a16:creationId xmlns:a16="http://schemas.microsoft.com/office/drawing/2014/main" id="{911B5761-FE1E-42BF-9AE9-439EDD6DE193}"/>
            </a:ext>
          </a:extLst>
        </xdr:cNvPr>
        <xdr:cNvGrpSpPr/>
      </xdr:nvGrpSpPr>
      <xdr:grpSpPr>
        <a:xfrm>
          <a:off x="12127230" y="1314450"/>
          <a:ext cx="235267" cy="464819"/>
          <a:chOff x="6719888" y="876301"/>
          <a:chExt cx="171450" cy="447674"/>
        </a:xfrm>
      </xdr:grpSpPr>
      <xdr:cxnSp macro="">
        <xdr:nvCxnSpPr>
          <xdr:cNvPr id="51" name="Straight Arrow Connector 50">
            <a:extLst>
              <a:ext uri="{FF2B5EF4-FFF2-40B4-BE49-F238E27FC236}">
                <a16:creationId xmlns:a16="http://schemas.microsoft.com/office/drawing/2014/main" id="{84325E47-49B4-4CF7-5982-D2F82CE4F579}"/>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2" name="Straight Arrow Connector 51">
            <a:extLst>
              <a:ext uri="{FF2B5EF4-FFF2-40B4-BE49-F238E27FC236}">
                <a16:creationId xmlns:a16="http://schemas.microsoft.com/office/drawing/2014/main" id="{2CFBD138-08D7-CEB7-572D-DB0904FBB131}"/>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28</xdr:col>
      <xdr:colOff>19050</xdr:colOff>
      <xdr:row>12</xdr:row>
      <xdr:rowOff>19050</xdr:rowOff>
    </xdr:from>
    <xdr:to>
      <xdr:col>29</xdr:col>
      <xdr:colOff>71437</xdr:colOff>
      <xdr:row>14</xdr:row>
      <xdr:rowOff>133349</xdr:rowOff>
    </xdr:to>
    <xdr:grpSp>
      <xdr:nvGrpSpPr>
        <xdr:cNvPr id="53" name="Group 52">
          <a:extLst>
            <a:ext uri="{FF2B5EF4-FFF2-40B4-BE49-F238E27FC236}">
              <a16:creationId xmlns:a16="http://schemas.microsoft.com/office/drawing/2014/main" id="{A20E5D5A-A828-41AA-86A9-C105F8069AAF}"/>
            </a:ext>
          </a:extLst>
        </xdr:cNvPr>
        <xdr:cNvGrpSpPr/>
      </xdr:nvGrpSpPr>
      <xdr:grpSpPr>
        <a:xfrm>
          <a:off x="12127230" y="2023110"/>
          <a:ext cx="235267" cy="472439"/>
          <a:chOff x="6719888" y="876301"/>
          <a:chExt cx="171450" cy="447674"/>
        </a:xfrm>
      </xdr:grpSpPr>
      <xdr:cxnSp macro="">
        <xdr:nvCxnSpPr>
          <xdr:cNvPr id="54" name="Straight Arrow Connector 53">
            <a:extLst>
              <a:ext uri="{FF2B5EF4-FFF2-40B4-BE49-F238E27FC236}">
                <a16:creationId xmlns:a16="http://schemas.microsoft.com/office/drawing/2014/main" id="{E547CD22-31B9-CA73-763C-A6E134F559B6}"/>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F2501B56-AAA8-7564-3832-BB3F8E6E2744}"/>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4.xml><?xml version="1.0" encoding="utf-8"?>
<xdr:wsDr xmlns:xdr="http://schemas.openxmlformats.org/drawingml/2006/spreadsheetDrawing" xmlns:a="http://schemas.openxmlformats.org/drawingml/2006/main">
  <xdr:twoCellAnchor editAs="oneCell">
    <xdr:from>
      <xdr:col>10</xdr:col>
      <xdr:colOff>68580</xdr:colOff>
      <xdr:row>12</xdr:row>
      <xdr:rowOff>15240</xdr:rowOff>
    </xdr:from>
    <xdr:to>
      <xdr:col>20</xdr:col>
      <xdr:colOff>602568</xdr:colOff>
      <xdr:row>16</xdr:row>
      <xdr:rowOff>53404</xdr:rowOff>
    </xdr:to>
    <xdr:pic>
      <xdr:nvPicPr>
        <xdr:cNvPr id="3" name="Picture 2">
          <a:extLst>
            <a:ext uri="{FF2B5EF4-FFF2-40B4-BE49-F238E27FC236}">
              <a16:creationId xmlns:a16="http://schemas.microsoft.com/office/drawing/2014/main" id="{B1C1B127-F7F8-9681-802F-41E7BC49A5F3}"/>
            </a:ext>
          </a:extLst>
        </xdr:cNvPr>
        <xdr:cNvPicPr>
          <a:picLocks noChangeAspect="1"/>
        </xdr:cNvPicPr>
      </xdr:nvPicPr>
      <xdr:blipFill>
        <a:blip xmlns:r="http://schemas.openxmlformats.org/officeDocument/2006/relationships" r:embed="rId1"/>
        <a:stretch>
          <a:fillRect/>
        </a:stretch>
      </xdr:blipFill>
      <xdr:spPr>
        <a:xfrm>
          <a:off x="7650480" y="2057400"/>
          <a:ext cx="6782388" cy="739204"/>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10</xdr:col>
      <xdr:colOff>373380</xdr:colOff>
      <xdr:row>2</xdr:row>
      <xdr:rowOff>38100</xdr:rowOff>
    </xdr:from>
    <xdr:to>
      <xdr:col>20</xdr:col>
      <xdr:colOff>221495</xdr:colOff>
      <xdr:row>21</xdr:row>
      <xdr:rowOff>76492</xdr:rowOff>
    </xdr:to>
    <xdr:pic>
      <xdr:nvPicPr>
        <xdr:cNvPr id="2" name="Picture 1">
          <a:extLst>
            <a:ext uri="{FF2B5EF4-FFF2-40B4-BE49-F238E27FC236}">
              <a16:creationId xmlns:a16="http://schemas.microsoft.com/office/drawing/2014/main" id="{954C7276-C118-7D8B-E325-D54448BE2238}"/>
            </a:ext>
          </a:extLst>
        </xdr:cNvPr>
        <xdr:cNvPicPr>
          <a:picLocks noChangeAspect="1"/>
        </xdr:cNvPicPr>
      </xdr:nvPicPr>
      <xdr:blipFill>
        <a:blip xmlns:r="http://schemas.openxmlformats.org/officeDocument/2006/relationships" r:embed="rId1"/>
        <a:stretch>
          <a:fillRect/>
        </a:stretch>
      </xdr:blipFill>
      <xdr:spPr>
        <a:xfrm>
          <a:off x="6766560" y="388620"/>
          <a:ext cx="5944115" cy="3368332"/>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7</xdr:col>
      <xdr:colOff>14288</xdr:colOff>
      <xdr:row>5</xdr:row>
      <xdr:rowOff>42863</xdr:rowOff>
    </xdr:from>
    <xdr:to>
      <xdr:col>8</xdr:col>
      <xdr:colOff>0</xdr:colOff>
      <xdr:row>7</xdr:row>
      <xdr:rowOff>157162</xdr:rowOff>
    </xdr:to>
    <xdr:grpSp>
      <xdr:nvGrpSpPr>
        <xdr:cNvPr id="2" name="Group 1">
          <a:extLst>
            <a:ext uri="{FF2B5EF4-FFF2-40B4-BE49-F238E27FC236}">
              <a16:creationId xmlns:a16="http://schemas.microsoft.com/office/drawing/2014/main" id="{B590C27B-10CB-4FDA-8E8D-B2BCE60746F7}"/>
            </a:ext>
          </a:extLst>
        </xdr:cNvPr>
        <xdr:cNvGrpSpPr/>
      </xdr:nvGrpSpPr>
      <xdr:grpSpPr>
        <a:xfrm>
          <a:off x="4708208" y="804863"/>
          <a:ext cx="168592" cy="464819"/>
          <a:chOff x="6719888" y="876301"/>
          <a:chExt cx="171450" cy="447674"/>
        </a:xfrm>
      </xdr:grpSpPr>
      <xdr:cxnSp macro="">
        <xdr:nvCxnSpPr>
          <xdr:cNvPr id="3" name="Straight Arrow Connector 2">
            <a:extLst>
              <a:ext uri="{FF2B5EF4-FFF2-40B4-BE49-F238E27FC236}">
                <a16:creationId xmlns:a16="http://schemas.microsoft.com/office/drawing/2014/main" id="{EDEF7AF6-ACEA-3229-3082-31EBB6E8C85A}"/>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3">
            <a:extLst>
              <a:ext uri="{FF2B5EF4-FFF2-40B4-BE49-F238E27FC236}">
                <a16:creationId xmlns:a16="http://schemas.microsoft.com/office/drawing/2014/main" id="{AC26BC9F-69FC-7002-DDF8-D6424BEE0B99}"/>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19051</xdr:colOff>
      <xdr:row>5</xdr:row>
      <xdr:rowOff>14287</xdr:rowOff>
    </xdr:from>
    <xdr:to>
      <xdr:col>12</xdr:col>
      <xdr:colOff>14288</xdr:colOff>
      <xdr:row>7</xdr:row>
      <xdr:rowOff>128586</xdr:rowOff>
    </xdr:to>
    <xdr:grpSp>
      <xdr:nvGrpSpPr>
        <xdr:cNvPr id="5" name="Group 4">
          <a:extLst>
            <a:ext uri="{FF2B5EF4-FFF2-40B4-BE49-F238E27FC236}">
              <a16:creationId xmlns:a16="http://schemas.microsoft.com/office/drawing/2014/main" id="{352F8316-5F1B-4212-87B5-3DC3D08BA71F}"/>
            </a:ext>
          </a:extLst>
        </xdr:cNvPr>
        <xdr:cNvGrpSpPr/>
      </xdr:nvGrpSpPr>
      <xdr:grpSpPr>
        <a:xfrm>
          <a:off x="6473191" y="776287"/>
          <a:ext cx="178117" cy="464819"/>
          <a:chOff x="6719888" y="876301"/>
          <a:chExt cx="171450" cy="447674"/>
        </a:xfrm>
      </xdr:grpSpPr>
      <xdr:cxnSp macro="">
        <xdr:nvCxnSpPr>
          <xdr:cNvPr id="6" name="Straight Arrow Connector 5">
            <a:extLst>
              <a:ext uri="{FF2B5EF4-FFF2-40B4-BE49-F238E27FC236}">
                <a16:creationId xmlns:a16="http://schemas.microsoft.com/office/drawing/2014/main" id="{CDF11128-CAF2-2F9F-D953-77756104A530}"/>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8B44FB29-6D06-EF87-3A6F-FC2222E406D1}"/>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15</xdr:col>
      <xdr:colOff>9526</xdr:colOff>
      <xdr:row>5</xdr:row>
      <xdr:rowOff>57150</xdr:rowOff>
    </xdr:from>
    <xdr:to>
      <xdr:col>15</xdr:col>
      <xdr:colOff>166688</xdr:colOff>
      <xdr:row>8</xdr:row>
      <xdr:rowOff>4762</xdr:rowOff>
    </xdr:to>
    <xdr:grpSp>
      <xdr:nvGrpSpPr>
        <xdr:cNvPr id="8" name="Group 7">
          <a:extLst>
            <a:ext uri="{FF2B5EF4-FFF2-40B4-BE49-F238E27FC236}">
              <a16:creationId xmlns:a16="http://schemas.microsoft.com/office/drawing/2014/main" id="{4A0EA282-A3C8-408C-B745-E150E636DBB0}"/>
            </a:ext>
          </a:extLst>
        </xdr:cNvPr>
        <xdr:cNvGrpSpPr/>
      </xdr:nvGrpSpPr>
      <xdr:grpSpPr>
        <a:xfrm>
          <a:off x="7812406" y="819150"/>
          <a:ext cx="157162" cy="481012"/>
          <a:chOff x="6719888" y="876301"/>
          <a:chExt cx="171450" cy="447674"/>
        </a:xfrm>
      </xdr:grpSpPr>
      <xdr:cxnSp macro="">
        <xdr:nvCxnSpPr>
          <xdr:cNvPr id="9" name="Straight Arrow Connector 8">
            <a:extLst>
              <a:ext uri="{FF2B5EF4-FFF2-40B4-BE49-F238E27FC236}">
                <a16:creationId xmlns:a16="http://schemas.microsoft.com/office/drawing/2014/main" id="{41DED1A8-E1BB-C039-8E66-BC467CEC6DE1}"/>
              </a:ext>
            </a:extLst>
          </xdr:cNvPr>
          <xdr:cNvCxnSpPr/>
        </xdr:nvCxnSpPr>
        <xdr:spPr>
          <a:xfrm flipV="1">
            <a:off x="6724651" y="876301"/>
            <a:ext cx="166687" cy="2047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3B71121E-C65C-28EC-BDA6-0945BD968DCB}"/>
              </a:ext>
            </a:extLst>
          </xdr:cNvPr>
          <xdr:cNvCxnSpPr/>
        </xdr:nvCxnSpPr>
        <xdr:spPr>
          <a:xfrm>
            <a:off x="6719888" y="1133476"/>
            <a:ext cx="171449" cy="1904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18</xdr:col>
      <xdr:colOff>601980</xdr:colOff>
      <xdr:row>2</xdr:row>
      <xdr:rowOff>76200</xdr:rowOff>
    </xdr:from>
    <xdr:to>
      <xdr:col>27</xdr:col>
      <xdr:colOff>431002</xdr:colOff>
      <xdr:row>12</xdr:row>
      <xdr:rowOff>76353</xdr:rowOff>
    </xdr:to>
    <xdr:pic>
      <xdr:nvPicPr>
        <xdr:cNvPr id="11" name="Picture 10">
          <a:extLst>
            <a:ext uri="{FF2B5EF4-FFF2-40B4-BE49-F238E27FC236}">
              <a16:creationId xmlns:a16="http://schemas.microsoft.com/office/drawing/2014/main" id="{EA0007B7-7850-4DA9-BC24-CEDA333F7DAF}"/>
            </a:ext>
          </a:extLst>
        </xdr:cNvPr>
        <xdr:cNvPicPr>
          <a:picLocks noChangeAspect="1"/>
        </xdr:cNvPicPr>
      </xdr:nvPicPr>
      <xdr:blipFill>
        <a:blip xmlns:r="http://schemas.openxmlformats.org/officeDocument/2006/relationships" r:embed="rId1"/>
        <a:stretch>
          <a:fillRect/>
        </a:stretch>
      </xdr:blipFill>
      <xdr:spPr>
        <a:xfrm>
          <a:off x="9227820" y="312420"/>
          <a:ext cx="5452582" cy="176799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nicon\Downloads\FIN%20480%20Winter%202023%20Quiz%201%20solutions%2020230223_1630.xlsx" TargetMode="External"/><Relationship Id="rId1" Type="http://schemas.openxmlformats.org/officeDocument/2006/relationships/externalLinkPath" Target="file:///C:\Users\nicon\Downloads\FIN%20480%20Winter%202023%20Quiz%201%20solutions%2020230223_1630.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Nicolas%20Newberry\Downloads\Excel%2004.1%20Assignment%201%20solutions%20-%20Commodities%20options%20(JetBlue)%2020230126%20(1).xlsx" TargetMode="External"/><Relationship Id="rId1" Type="http://schemas.openxmlformats.org/officeDocument/2006/relationships/externalLinkPath" Target="file:///C:\Users\Nicolas%20Newberry\Downloads\Excel%2004.1%20Assignment%201%20solutions%20-%20Commodities%20options%20(JetBlue)%2020230126%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__FDSCACHE__"/>
      <sheetName val="Key"/>
      <sheetName val="Example"/>
      <sheetName val="Q3"/>
      <sheetName val="Q4"/>
      <sheetName val="Q5"/>
      <sheetName val="Q6"/>
      <sheetName val="Q7"/>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Q1Eu1St"/>
      <sheetName val="Q1Eu2St"/>
      <sheetName val="Q2BSM"/>
      <sheetName val="Q3Am1St"/>
      <sheetName val="Q3Am2St"/>
      <sheetName val="Q4"/>
      <sheetName val="Exh 1 (data)"/>
    </sheetNames>
    <sheetDataSet>
      <sheetData sheetId="0" refreshError="1"/>
      <sheetData sheetId="1">
        <row r="2">
          <cell r="C2">
            <v>78.930000000000007</v>
          </cell>
        </row>
        <row r="6">
          <cell r="C6">
            <v>0.02</v>
          </cell>
        </row>
        <row r="17">
          <cell r="C17">
            <v>0.32955752802244048</v>
          </cell>
        </row>
      </sheetData>
      <sheetData sheetId="2">
        <row r="7">
          <cell r="C7">
            <v>1.4041826344600281</v>
          </cell>
          <cell r="G7">
            <v>0.52731214209816724</v>
          </cell>
        </row>
        <row r="10">
          <cell r="K10">
            <v>6.1147220680681897</v>
          </cell>
        </row>
      </sheetData>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Cardinal Economics and Finance">
      <a:dk1>
        <a:sysClr val="windowText" lastClr="000000"/>
      </a:dk1>
      <a:lt1>
        <a:sysClr val="window" lastClr="FFFFFF"/>
      </a:lt1>
      <a:dk2>
        <a:srgbClr val="44546A"/>
      </a:dk2>
      <a:lt2>
        <a:srgbClr val="E7E6E6"/>
      </a:lt2>
      <a:accent1>
        <a:srgbClr val="EF3340"/>
      </a:accent1>
      <a:accent2>
        <a:srgbClr val="BF0D3E"/>
      </a:accent2>
      <a:accent3>
        <a:srgbClr val="8A1538"/>
      </a:accent3>
      <a:accent4>
        <a:srgbClr val="75787B"/>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6.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7.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E1648-0F8D-4C0B-8F69-73D542A58A67}">
  <sheetPr codeName="Sheet1"/>
  <dimension ref="A1:Q28"/>
  <sheetViews>
    <sheetView workbookViewId="0"/>
  </sheetViews>
  <sheetFormatPr defaultColWidth="9.109375" defaultRowHeight="13.8" x14ac:dyDescent="0.3"/>
  <cols>
    <col min="1" max="1" width="24.6640625" style="1" bestFit="1" customWidth="1"/>
    <col min="2" max="16384" width="9.109375" style="1"/>
  </cols>
  <sheetData>
    <row r="1" spans="1:17" x14ac:dyDescent="0.3">
      <c r="A1" s="1" t="s">
        <v>34</v>
      </c>
      <c r="B1" s="56">
        <v>9.7559999999999994E-2</v>
      </c>
    </row>
    <row r="2" spans="1:17" x14ac:dyDescent="0.3">
      <c r="A2" s="1" t="s">
        <v>35</v>
      </c>
      <c r="B2" s="57">
        <v>90</v>
      </c>
    </row>
    <row r="3" spans="1:17" x14ac:dyDescent="0.3">
      <c r="A3" s="1" t="s">
        <v>0</v>
      </c>
      <c r="B3" s="57">
        <v>90</v>
      </c>
      <c r="C3" s="1" t="s">
        <v>153</v>
      </c>
      <c r="I3" s="1" t="s">
        <v>266</v>
      </c>
    </row>
    <row r="4" spans="1:17" x14ac:dyDescent="0.3">
      <c r="A4" s="1" t="s">
        <v>36</v>
      </c>
      <c r="B4" s="57">
        <v>0.5</v>
      </c>
    </row>
    <row r="5" spans="1:17" x14ac:dyDescent="0.3">
      <c r="A5" s="1" t="s">
        <v>37</v>
      </c>
      <c r="B5" s="55">
        <v>0</v>
      </c>
      <c r="I5" s="1" t="s">
        <v>339</v>
      </c>
    </row>
    <row r="6" spans="1:17" x14ac:dyDescent="0.3">
      <c r="I6" s="1" t="s">
        <v>273</v>
      </c>
    </row>
    <row r="7" spans="1:17" x14ac:dyDescent="0.3">
      <c r="A7" s="193" t="s">
        <v>311</v>
      </c>
    </row>
    <row r="8" spans="1:17" x14ac:dyDescent="0.3">
      <c r="I8" s="1" t="s">
        <v>274</v>
      </c>
    </row>
    <row r="10" spans="1:17" x14ac:dyDescent="0.3">
      <c r="Q10" s="1" t="s">
        <v>343</v>
      </c>
    </row>
    <row r="11" spans="1:17" x14ac:dyDescent="0.3">
      <c r="K11" s="152" t="s">
        <v>305</v>
      </c>
      <c r="Q11" s="1" t="s">
        <v>344</v>
      </c>
    </row>
    <row r="12" spans="1:17" x14ac:dyDescent="0.3">
      <c r="A12" s="1" t="s">
        <v>154</v>
      </c>
      <c r="C12" s="1" t="s">
        <v>158</v>
      </c>
      <c r="K12" s="1" t="s">
        <v>306</v>
      </c>
    </row>
    <row r="13" spans="1:17" x14ac:dyDescent="0.3">
      <c r="C13" s="1" t="s">
        <v>155</v>
      </c>
      <c r="Q13" s="23"/>
    </row>
    <row r="14" spans="1:17" x14ac:dyDescent="0.3">
      <c r="C14" s="1" t="s">
        <v>156</v>
      </c>
      <c r="K14" s="1" t="s">
        <v>307</v>
      </c>
      <c r="M14" s="1" t="s">
        <v>308</v>
      </c>
    </row>
    <row r="16" spans="1:17" x14ac:dyDescent="0.3">
      <c r="C16" s="152" t="s">
        <v>20</v>
      </c>
      <c r="D16" s="1" t="s">
        <v>159</v>
      </c>
      <c r="E16" s="1" t="s">
        <v>160</v>
      </c>
      <c r="F16" s="1" t="s">
        <v>161</v>
      </c>
    </row>
    <row r="17" spans="1:4" x14ac:dyDescent="0.3">
      <c r="B17" s="1" t="s">
        <v>361</v>
      </c>
      <c r="C17" s="1" t="s">
        <v>362</v>
      </c>
      <c r="D17" s="1" t="s">
        <v>363</v>
      </c>
    </row>
    <row r="18" spans="1:4" x14ac:dyDescent="0.3">
      <c r="C18" t="s">
        <v>154</v>
      </c>
    </row>
    <row r="19" spans="1:4" x14ac:dyDescent="0.3">
      <c r="C19" s="154" t="s">
        <v>197</v>
      </c>
    </row>
    <row r="21" spans="1:4" x14ac:dyDescent="0.3">
      <c r="C21" s="1" t="s">
        <v>262</v>
      </c>
    </row>
    <row r="22" spans="1:4" x14ac:dyDescent="0.3">
      <c r="C22" s="1" t="s">
        <v>264</v>
      </c>
    </row>
    <row r="23" spans="1:4" x14ac:dyDescent="0.3">
      <c r="C23" s="1" t="s">
        <v>263</v>
      </c>
    </row>
    <row r="24" spans="1:4" x14ac:dyDescent="0.3">
      <c r="C24" s="1" t="s">
        <v>265</v>
      </c>
    </row>
    <row r="28" spans="1:4" x14ac:dyDescent="0.3">
      <c r="A28" s="1" t="s">
        <v>284</v>
      </c>
    </row>
  </sheetData>
  <hyperlinks>
    <hyperlink ref="A7" location="Summary!A1" display="Jump to back" xr:uid="{07405302-B01C-49C3-AC0B-1D33463DB64D}"/>
  </hyperlinks>
  <pageMargins left="0.7" right="0.7" top="0.75" bottom="0.75" header="0.3" footer="0.3"/>
  <pageSetup orientation="portrait" horizontalDpi="360" verticalDpi="36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D5438-D856-4C15-826A-619B94DB0103}">
  <sheetPr codeName="Sheet12"/>
  <dimension ref="B1:R28"/>
  <sheetViews>
    <sheetView workbookViewId="0">
      <selection activeCell="C20" sqref="C20"/>
    </sheetView>
  </sheetViews>
  <sheetFormatPr defaultColWidth="9.109375" defaultRowHeight="13.8" x14ac:dyDescent="0.3"/>
  <cols>
    <col min="1" max="1" width="0.88671875" style="1" customWidth="1"/>
    <col min="2" max="2" width="40.21875" style="1" bestFit="1" customWidth="1"/>
    <col min="3" max="3" width="8.6640625" style="1" customWidth="1"/>
    <col min="4" max="4" width="1.6640625" style="1" customWidth="1"/>
    <col min="5" max="5" width="7.6640625" style="1" customWidth="1"/>
    <col min="6" max="6" width="1.6640625" style="1" customWidth="1"/>
    <col min="7" max="7" width="7.6640625" style="1" customWidth="1"/>
    <col min="8" max="8" width="2.6640625" style="1" customWidth="1"/>
    <col min="9" max="11" width="7.6640625" style="1" customWidth="1"/>
    <col min="12" max="12" width="2.6640625" style="1" customWidth="1"/>
    <col min="13" max="13" width="7.6640625" style="1" customWidth="1"/>
    <col min="14" max="14" width="1.6640625" style="1" customWidth="1"/>
    <col min="15" max="15" width="7.6640625" style="1" customWidth="1"/>
    <col min="16" max="16" width="2.6640625" style="1" customWidth="1"/>
    <col min="17" max="17" width="7.6640625" style="1" customWidth="1"/>
    <col min="18" max="18" width="1.6640625" style="1" customWidth="1"/>
    <col min="19" max="16384" width="9.109375" style="1"/>
  </cols>
  <sheetData>
    <row r="1" spans="2:18" ht="4.95" customHeight="1" thickBot="1" x14ac:dyDescent="0.35"/>
    <row r="2" spans="2:18" x14ac:dyDescent="0.3">
      <c r="B2" s="3" t="s">
        <v>16</v>
      </c>
      <c r="C2" s="46">
        <v>29.13</v>
      </c>
      <c r="E2" s="3"/>
      <c r="F2" s="6"/>
      <c r="G2" s="6" t="s">
        <v>21</v>
      </c>
      <c r="H2" s="6"/>
      <c r="I2" s="6"/>
      <c r="J2" s="6" t="s">
        <v>5</v>
      </c>
      <c r="K2" s="7" t="s">
        <v>6</v>
      </c>
      <c r="L2" s="6"/>
      <c r="M2" s="6"/>
      <c r="N2" s="6"/>
      <c r="O2" s="6" t="s">
        <v>7</v>
      </c>
      <c r="P2" s="6"/>
      <c r="Q2" s="6"/>
      <c r="R2" s="8"/>
    </row>
    <row r="3" spans="2:18" x14ac:dyDescent="0.3">
      <c r="B3" s="4" t="s">
        <v>0</v>
      </c>
      <c r="C3" s="26">
        <v>26.72</v>
      </c>
      <c r="E3" s="4"/>
      <c r="K3" s="16"/>
      <c r="R3" s="5"/>
    </row>
    <row r="4" spans="2:18" x14ac:dyDescent="0.3">
      <c r="B4" s="4" t="s">
        <v>1</v>
      </c>
      <c r="C4" s="26">
        <v>32.96</v>
      </c>
      <c r="E4" s="4"/>
      <c r="K4" s="16"/>
      <c r="R4" s="5"/>
    </row>
    <row r="5" spans="2:18" x14ac:dyDescent="0.3">
      <c r="B5" s="4" t="s">
        <v>2</v>
      </c>
      <c r="C5" s="26">
        <v>25.75</v>
      </c>
      <c r="E5" s="4"/>
      <c r="G5" s="17"/>
      <c r="H5" s="17"/>
      <c r="I5" s="47">
        <f>C4</f>
        <v>32.96</v>
      </c>
      <c r="J5" s="128">
        <f>(I7-I9)/(I5-I9)</f>
        <v>0.56856693221086152</v>
      </c>
      <c r="K5" s="17"/>
      <c r="L5" s="17"/>
      <c r="M5" s="47">
        <f>MAX(0,I5-$C$3)</f>
        <v>6.240000000000002</v>
      </c>
      <c r="O5" s="17"/>
      <c r="P5" s="17"/>
      <c r="Q5" s="47">
        <f>MAX(0,$C$3-I5)</f>
        <v>0</v>
      </c>
      <c r="R5" s="5"/>
    </row>
    <row r="6" spans="2:18" x14ac:dyDescent="0.3">
      <c r="B6" s="4" t="s">
        <v>3</v>
      </c>
      <c r="C6" s="24">
        <v>0.05</v>
      </c>
      <c r="E6" s="4"/>
      <c r="G6" s="17"/>
      <c r="H6" s="17"/>
      <c r="I6" s="17"/>
      <c r="K6" s="17"/>
      <c r="L6" s="17"/>
      <c r="M6" s="17"/>
      <c r="O6" s="17"/>
      <c r="P6" s="17"/>
      <c r="Q6" s="17"/>
      <c r="R6" s="5"/>
    </row>
    <row r="7" spans="2:18" x14ac:dyDescent="0.3">
      <c r="B7" s="4" t="s">
        <v>15</v>
      </c>
      <c r="C7" s="26">
        <f>C8</f>
        <v>0.5</v>
      </c>
      <c r="E7" s="4"/>
      <c r="G7" s="48">
        <f>C2</f>
        <v>29.13</v>
      </c>
      <c r="H7" s="17"/>
      <c r="I7" s="49">
        <f>G7*(1+C6)^C7</f>
        <v>29.849367581240312</v>
      </c>
      <c r="K7" s="48">
        <f>MAX(M7/(1+$C$6)^M13,G7-$C$3)</f>
        <v>3.4623545462731906</v>
      </c>
      <c r="L7" s="17"/>
      <c r="M7" s="49">
        <f>M5*$J$5+M9*$J$9</f>
        <v>3.5478576569957769</v>
      </c>
      <c r="O7" s="48">
        <f>Q7/(1+$C$6)^Q13</f>
        <v>0.40840449545799429</v>
      </c>
      <c r="P7" s="17"/>
      <c r="Q7" s="49">
        <f>Q5*$J$5+Q9*$J$9</f>
        <v>0.41849007575546382</v>
      </c>
      <c r="R7" s="5"/>
    </row>
    <row r="8" spans="2:18" ht="14.4" thickBot="1" x14ac:dyDescent="0.35">
      <c r="B8" s="4" t="s">
        <v>4</v>
      </c>
      <c r="C8" s="26">
        <f>Assumptions!B4</f>
        <v>0.5</v>
      </c>
      <c r="E8" s="4"/>
      <c r="G8" s="17"/>
      <c r="H8" s="17"/>
      <c r="I8" s="17"/>
      <c r="K8" s="17"/>
      <c r="L8" s="17"/>
      <c r="M8" s="17"/>
      <c r="O8" s="17"/>
      <c r="P8" s="17"/>
      <c r="Q8" s="17"/>
      <c r="R8" s="5"/>
    </row>
    <row r="9" spans="2:18" x14ac:dyDescent="0.3">
      <c r="B9" s="10" t="s">
        <v>8</v>
      </c>
      <c r="C9" s="43">
        <f>K7</f>
        <v>3.4623545462731906</v>
      </c>
      <c r="E9" s="4"/>
      <c r="G9" s="17"/>
      <c r="H9" s="17"/>
      <c r="I9" s="47">
        <f>C5</f>
        <v>25.75</v>
      </c>
      <c r="J9" s="128">
        <f>1-J5</f>
        <v>0.43143306778913848</v>
      </c>
      <c r="K9" s="17"/>
      <c r="L9" s="17"/>
      <c r="M9" s="47">
        <f>MAX(0,I9-$C$3)</f>
        <v>0</v>
      </c>
      <c r="O9" s="17"/>
      <c r="P9" s="17"/>
      <c r="Q9" s="47">
        <f>MAX(0,$C$3-I9)</f>
        <v>0.96999999999999886</v>
      </c>
      <c r="R9" s="5"/>
    </row>
    <row r="10" spans="2:18" x14ac:dyDescent="0.3">
      <c r="B10" s="11" t="s">
        <v>11</v>
      </c>
      <c r="C10" s="44">
        <f>MAX(C2-C3,0)</f>
        <v>2.41</v>
      </c>
      <c r="E10" s="4"/>
      <c r="I10" s="2"/>
      <c r="J10" s="15"/>
      <c r="M10" s="2"/>
      <c r="Q10" s="2"/>
      <c r="R10" s="5"/>
    </row>
    <row r="11" spans="2:18" ht="14.4" thickBot="1" x14ac:dyDescent="0.35">
      <c r="B11" s="12" t="s">
        <v>12</v>
      </c>
      <c r="C11" s="45">
        <f>C9-C10</f>
        <v>1.0523545462731905</v>
      </c>
      <c r="E11" s="4"/>
      <c r="I11" s="2"/>
      <c r="J11" s="15"/>
      <c r="M11" s="2"/>
      <c r="Q11" s="2"/>
      <c r="R11" s="5"/>
    </row>
    <row r="12" spans="2:18" x14ac:dyDescent="0.3">
      <c r="B12" s="11" t="s">
        <v>9</v>
      </c>
      <c r="C12" s="44">
        <f>O7</f>
        <v>0.40840449545799429</v>
      </c>
      <c r="E12" s="4"/>
      <c r="R12" s="5"/>
    </row>
    <row r="13" spans="2:18" ht="14.4" thickBot="1" x14ac:dyDescent="0.35">
      <c r="B13" s="11" t="s">
        <v>13</v>
      </c>
      <c r="C13" s="44">
        <f>MAX(C3-C2,0)</f>
        <v>0</v>
      </c>
      <c r="E13" s="22" t="s">
        <v>10</v>
      </c>
      <c r="F13" s="18"/>
      <c r="G13" s="19">
        <v>0</v>
      </c>
      <c r="H13" s="20"/>
      <c r="I13" s="19">
        <f>G13+$C$7</f>
        <v>0.5</v>
      </c>
      <c r="J13" s="21"/>
      <c r="K13" s="21">
        <f>G13</f>
        <v>0</v>
      </c>
      <c r="L13" s="21"/>
      <c r="M13" s="21">
        <f>K13+$C$7</f>
        <v>0.5</v>
      </c>
      <c r="N13" s="21"/>
      <c r="O13" s="21">
        <f>G13</f>
        <v>0</v>
      </c>
      <c r="P13" s="21"/>
      <c r="Q13" s="21">
        <f>O13+$C$7</f>
        <v>0.5</v>
      </c>
      <c r="R13" s="9"/>
    </row>
    <row r="14" spans="2:18" ht="14.4" thickBot="1" x14ac:dyDescent="0.35">
      <c r="B14" s="12" t="s">
        <v>14</v>
      </c>
      <c r="C14" s="45">
        <f>C12-C13</f>
        <v>0.40840449545799429</v>
      </c>
      <c r="G14" s="17"/>
      <c r="K14" s="17"/>
    </row>
    <row r="15" spans="2:18" x14ac:dyDescent="0.3">
      <c r="G15" s="17"/>
      <c r="I15" s="13"/>
      <c r="J15" s="17"/>
      <c r="K15" s="17"/>
      <c r="M15" s="13"/>
    </row>
    <row r="16" spans="2:18" x14ac:dyDescent="0.3">
      <c r="B16" s="1" t="s">
        <v>94</v>
      </c>
      <c r="C16" s="23">
        <v>0.65</v>
      </c>
      <c r="G16" s="17" t="s">
        <v>269</v>
      </c>
      <c r="I16" s="1">
        <f>I5/G7</f>
        <v>1.131479574322005</v>
      </c>
      <c r="K16" s="17"/>
      <c r="M16" s="17"/>
    </row>
    <row r="17" spans="2:13" x14ac:dyDescent="0.3">
      <c r="B17" s="1" t="s">
        <v>93</v>
      </c>
      <c r="C17" s="23">
        <f>1-C16</f>
        <v>0.35</v>
      </c>
      <c r="G17" s="17" t="s">
        <v>270</v>
      </c>
      <c r="I17" s="1">
        <f>1/I16</f>
        <v>0.88379854368932032</v>
      </c>
      <c r="J17" s="17"/>
      <c r="K17" s="17"/>
      <c r="M17" s="14"/>
    </row>
    <row r="18" spans="2:13" x14ac:dyDescent="0.3">
      <c r="C18" s="13"/>
      <c r="G18" s="17"/>
      <c r="K18" s="13"/>
    </row>
    <row r="19" spans="2:13" x14ac:dyDescent="0.3">
      <c r="B19" s="1" t="s">
        <v>95</v>
      </c>
      <c r="C19" s="13">
        <f>O7</f>
        <v>0.40840449545799429</v>
      </c>
      <c r="G19" s="17"/>
      <c r="I19" s="14"/>
    </row>
    <row r="20" spans="2:13" x14ac:dyDescent="0.3">
      <c r="B20" s="1" t="s">
        <v>96</v>
      </c>
      <c r="C20" s="23">
        <f>(C16*C4+C5*C17)/C2-1</f>
        <v>4.485066941297644E-2</v>
      </c>
      <c r="G20" s="17"/>
    </row>
    <row r="21" spans="2:13" x14ac:dyDescent="0.3">
      <c r="B21" s="1" t="s">
        <v>97</v>
      </c>
      <c r="C21" s="23">
        <f>(C16*Q5+C17*Q9)/O7-1</f>
        <v>-0.16871630019822281</v>
      </c>
      <c r="G21" s="17"/>
    </row>
    <row r="22" spans="2:13" x14ac:dyDescent="0.3">
      <c r="B22" s="1" t="s">
        <v>98</v>
      </c>
      <c r="C22" s="23">
        <f>((C16*C4+C17*C5)+(Q9*C17))/(C2+O7)-1</f>
        <v>4.1897845387428134E-2</v>
      </c>
      <c r="G22" s="17"/>
    </row>
    <row r="23" spans="2:13" x14ac:dyDescent="0.3">
      <c r="B23" s="1" t="s">
        <v>267</v>
      </c>
      <c r="C23" s="23">
        <f>(M5*C16+M9*C17)/K7-1</f>
        <v>0.17145715315775489</v>
      </c>
      <c r="G23" s="17"/>
    </row>
    <row r="24" spans="2:13" x14ac:dyDescent="0.3">
      <c r="B24" s="1" t="s">
        <v>268</v>
      </c>
      <c r="C24" s="23">
        <f>((C4*C16+C5*C17)+(C16*M5+C17*M9))/(K7+C2)-1</f>
        <v>5.8300343138114608E-2</v>
      </c>
      <c r="G24" s="17"/>
    </row>
    <row r="25" spans="2:13" x14ac:dyDescent="0.3">
      <c r="J25" s="17"/>
    </row>
    <row r="26" spans="2:13" x14ac:dyDescent="0.3">
      <c r="J26" s="23"/>
    </row>
    <row r="28" spans="2:13" x14ac:dyDescent="0.3">
      <c r="B28" s="193" t="s">
        <v>310</v>
      </c>
    </row>
  </sheetData>
  <hyperlinks>
    <hyperlink ref="B28" location="Assumptions!A1" display="jump to front" xr:uid="{B88BA4D6-E56F-490F-BCFE-E457F6931865}"/>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648E5-D9F4-4DF1-B16B-47A98AA84BF4}">
  <sheetPr codeName="Sheet2"/>
  <dimension ref="B1:T26"/>
  <sheetViews>
    <sheetView workbookViewId="0">
      <selection activeCell="B26" sqref="B26"/>
    </sheetView>
  </sheetViews>
  <sheetFormatPr defaultColWidth="9.109375" defaultRowHeight="13.8" x14ac:dyDescent="0.3"/>
  <cols>
    <col min="1" max="1" width="0.88671875" style="1" customWidth="1"/>
    <col min="2" max="2" width="40.21875" style="1" bestFit="1" customWidth="1"/>
    <col min="3" max="3" width="8.6640625" style="1" customWidth="1"/>
    <col min="4" max="4" width="1.6640625" style="1" customWidth="1"/>
    <col min="5" max="5" width="7.6640625" style="1" customWidth="1"/>
    <col min="6" max="6" width="1.6640625" style="1" customWidth="1"/>
    <col min="7" max="7" width="7.6640625" style="1" customWidth="1"/>
    <col min="8" max="8" width="2.6640625" style="1" customWidth="1"/>
    <col min="9" max="11" width="7.6640625" style="1" customWidth="1"/>
    <col min="12" max="12" width="2.6640625" style="1" customWidth="1"/>
    <col min="13" max="13" width="7.6640625" style="1" customWidth="1"/>
    <col min="14" max="14" width="1.6640625" style="1" customWidth="1"/>
    <col min="15" max="15" width="7.6640625" style="1" customWidth="1"/>
    <col min="16" max="16" width="2.6640625" style="1" customWidth="1"/>
    <col min="17" max="17" width="7.6640625" style="1" customWidth="1"/>
    <col min="18" max="18" width="1.6640625" style="1" customWidth="1"/>
    <col min="19" max="19" width="10.33203125" style="1" bestFit="1" customWidth="1"/>
    <col min="20" max="16384" width="9.109375" style="1"/>
  </cols>
  <sheetData>
    <row r="1" spans="2:20" ht="4.95" customHeight="1" thickBot="1" x14ac:dyDescent="0.35"/>
    <row r="2" spans="2:20" x14ac:dyDescent="0.3">
      <c r="B2" s="3" t="s">
        <v>16</v>
      </c>
      <c r="C2" s="46">
        <f>Assumptions!B2</f>
        <v>90</v>
      </c>
      <c r="E2" s="3"/>
      <c r="F2" s="6"/>
      <c r="G2" s="6" t="s">
        <v>21</v>
      </c>
      <c r="H2" s="6"/>
      <c r="I2" s="6"/>
      <c r="J2" s="6" t="s">
        <v>5</v>
      </c>
      <c r="K2" s="7" t="s">
        <v>6</v>
      </c>
      <c r="L2" s="6"/>
      <c r="M2" s="6"/>
      <c r="N2" s="6"/>
      <c r="O2" s="6" t="s">
        <v>7</v>
      </c>
      <c r="P2" s="6"/>
      <c r="Q2" s="6"/>
      <c r="R2" s="8"/>
    </row>
    <row r="3" spans="2:20" x14ac:dyDescent="0.3">
      <c r="B3" s="4" t="s">
        <v>0</v>
      </c>
      <c r="C3" s="26">
        <f>Assumptions!B3</f>
        <v>90</v>
      </c>
      <c r="E3" s="4"/>
      <c r="K3" s="16"/>
      <c r="R3" s="5"/>
    </row>
    <row r="4" spans="2:20" x14ac:dyDescent="0.3">
      <c r="B4" s="4" t="s">
        <v>1</v>
      </c>
      <c r="C4" s="26">
        <f>C2*T16</f>
        <v>98.475685533468933</v>
      </c>
      <c r="E4" s="4"/>
      <c r="K4" s="16"/>
      <c r="R4" s="5"/>
    </row>
    <row r="5" spans="2:20" x14ac:dyDescent="0.3">
      <c r="B5" s="4" t="s">
        <v>2</v>
      </c>
      <c r="C5" s="26">
        <f>C2*T17</f>
        <v>82.253806674410541</v>
      </c>
      <c r="E5" s="4"/>
      <c r="G5" s="17"/>
      <c r="H5" s="17"/>
      <c r="I5" s="47">
        <f>C4</f>
        <v>98.475685533468933</v>
      </c>
      <c r="J5" s="69">
        <f>(I7-I9)/(I5-I9)</f>
        <v>0.47751517520819969</v>
      </c>
      <c r="K5" s="17"/>
      <c r="L5" s="17"/>
      <c r="M5" s="47">
        <f>MAX(0,I5-$C$3)</f>
        <v>8.4756855334689334</v>
      </c>
      <c r="O5" s="17"/>
      <c r="P5" s="17"/>
      <c r="Q5" s="47">
        <f>MAX(0,$C$3-I5)</f>
        <v>0</v>
      </c>
      <c r="R5" s="5"/>
    </row>
    <row r="6" spans="2:20" x14ac:dyDescent="0.3">
      <c r="B6" s="4" t="s">
        <v>3</v>
      </c>
      <c r="C6" s="24">
        <f>Assumptions!B5</f>
        <v>0</v>
      </c>
      <c r="E6" s="4"/>
      <c r="G6" s="17"/>
      <c r="H6" s="17"/>
      <c r="I6" s="17"/>
      <c r="K6" s="17"/>
      <c r="L6" s="17"/>
      <c r="M6" s="17"/>
      <c r="O6" s="17"/>
      <c r="P6" s="17"/>
      <c r="Q6" s="17"/>
      <c r="R6" s="5"/>
    </row>
    <row r="7" spans="2:20" x14ac:dyDescent="0.3">
      <c r="B7" s="4" t="s">
        <v>15</v>
      </c>
      <c r="C7" s="26">
        <f>C8</f>
        <v>0.5</v>
      </c>
      <c r="E7" s="4"/>
      <c r="G7" s="48">
        <f>C2</f>
        <v>90</v>
      </c>
      <c r="H7" s="17"/>
      <c r="I7" s="49">
        <f>G7*(1+C6)^C7</f>
        <v>90</v>
      </c>
      <c r="K7" s="48">
        <f>MAX(M7/(1+$C$6)^M13,G7-$C$3)</f>
        <v>4.0472684625240216</v>
      </c>
      <c r="L7" s="17"/>
      <c r="M7" s="49">
        <f>M5*$J$5+M9*$J$9</f>
        <v>4.0472684625240216</v>
      </c>
      <c r="O7" s="48">
        <f>MAX(Q7/(1+$C$6)^Q13,C3-$G$7)</f>
        <v>4.0472684625240216</v>
      </c>
      <c r="P7" s="17"/>
      <c r="Q7" s="49">
        <f>Q5*$J$5+Q9*$J$9</f>
        <v>4.0472684625240216</v>
      </c>
      <c r="R7" s="5"/>
    </row>
    <row r="8" spans="2:20" ht="14.4" thickBot="1" x14ac:dyDescent="0.35">
      <c r="B8" s="4" t="s">
        <v>4</v>
      </c>
      <c r="C8" s="26">
        <f>Assumptions!B4</f>
        <v>0.5</v>
      </c>
      <c r="E8" s="4"/>
      <c r="G8" s="17"/>
      <c r="H8" s="17"/>
      <c r="I8" s="17"/>
      <c r="K8" s="17"/>
      <c r="L8" s="17"/>
      <c r="M8" s="17"/>
      <c r="O8" s="17"/>
      <c r="P8" s="17"/>
      <c r="Q8" s="17"/>
      <c r="R8" s="5"/>
    </row>
    <row r="9" spans="2:20" x14ac:dyDescent="0.3">
      <c r="B9" s="10" t="s">
        <v>8</v>
      </c>
      <c r="C9" s="43">
        <f>K7</f>
        <v>4.0472684625240216</v>
      </c>
      <c r="E9" s="4"/>
      <c r="G9" s="17"/>
      <c r="H9" s="17"/>
      <c r="I9" s="47">
        <f>C5</f>
        <v>82.253806674410541</v>
      </c>
      <c r="J9" s="69">
        <f>1-J5</f>
        <v>0.52248482479180036</v>
      </c>
      <c r="K9" s="17"/>
      <c r="L9" s="17"/>
      <c r="M9" s="47">
        <f>MAX(0,I9-$C$3)</f>
        <v>0</v>
      </c>
      <c r="O9" s="17"/>
      <c r="P9" s="17"/>
      <c r="Q9" s="47">
        <f>MAX(0,$C$3-I9)</f>
        <v>7.7461933255894593</v>
      </c>
      <c r="R9" s="5"/>
    </row>
    <row r="10" spans="2:20" x14ac:dyDescent="0.3">
      <c r="B10" s="11" t="s">
        <v>11</v>
      </c>
      <c r="C10" s="44">
        <f>MAX(C2-C3,0)</f>
        <v>0</v>
      </c>
      <c r="E10" s="4"/>
      <c r="I10" s="2"/>
      <c r="J10" s="15"/>
      <c r="M10" s="2"/>
      <c r="Q10" s="2"/>
      <c r="R10" s="5"/>
    </row>
    <row r="11" spans="2:20" ht="14.4" thickBot="1" x14ac:dyDescent="0.35">
      <c r="B11" s="12" t="s">
        <v>12</v>
      </c>
      <c r="C11" s="45">
        <f>C9-C10</f>
        <v>4.0472684625240216</v>
      </c>
      <c r="E11" s="4"/>
      <c r="I11" s="2"/>
      <c r="J11" s="15"/>
      <c r="M11" s="2"/>
      <c r="Q11" s="2"/>
      <c r="R11" s="5"/>
    </row>
    <row r="12" spans="2:20" x14ac:dyDescent="0.3">
      <c r="B12" s="11" t="s">
        <v>9</v>
      </c>
      <c r="C12" s="44">
        <f>O7</f>
        <v>4.0472684625240216</v>
      </c>
      <c r="E12" s="4"/>
      <c r="R12" s="5"/>
    </row>
    <row r="13" spans="2:20" ht="14.4" thickBot="1" x14ac:dyDescent="0.35">
      <c r="B13" s="11" t="s">
        <v>13</v>
      </c>
      <c r="C13" s="44">
        <f>MAX(C3-C2,0)</f>
        <v>0</v>
      </c>
      <c r="E13" s="22" t="s">
        <v>10</v>
      </c>
      <c r="F13" s="18"/>
      <c r="G13" s="19">
        <v>0</v>
      </c>
      <c r="H13" s="20"/>
      <c r="I13" s="19">
        <f>G13+$C$7</f>
        <v>0.5</v>
      </c>
      <c r="J13" s="21"/>
      <c r="K13" s="21">
        <f>G13</f>
        <v>0</v>
      </c>
      <c r="L13" s="21"/>
      <c r="M13" s="21">
        <f>K13+$C$7</f>
        <v>0.5</v>
      </c>
      <c r="N13" s="21"/>
      <c r="O13" s="21">
        <f>G13</f>
        <v>0</v>
      </c>
      <c r="P13" s="21"/>
      <c r="Q13" s="21">
        <f>O13+$C$7</f>
        <v>0.5</v>
      </c>
      <c r="R13" s="9"/>
    </row>
    <row r="14" spans="2:20" ht="14.4" thickBot="1" x14ac:dyDescent="0.35">
      <c r="B14" s="12" t="s">
        <v>14</v>
      </c>
      <c r="C14" s="45">
        <f>C12-C13</f>
        <v>4.0472684625240216</v>
      </c>
      <c r="G14" s="17"/>
      <c r="K14" s="17"/>
    </row>
    <row r="15" spans="2:20" x14ac:dyDescent="0.3">
      <c r="G15" s="17"/>
      <c r="I15" s="13"/>
      <c r="J15" s="17"/>
      <c r="K15" s="17"/>
      <c r="M15" s="13"/>
    </row>
    <row r="16" spans="2:20" x14ac:dyDescent="0.3">
      <c r="B16" s="1" t="s">
        <v>182</v>
      </c>
      <c r="C16" s="160">
        <v>0.5</v>
      </c>
      <c r="G16" s="17"/>
      <c r="I16" s="1" t="s">
        <v>309</v>
      </c>
      <c r="K16" s="17">
        <v>0.09</v>
      </c>
      <c r="N16" s="129"/>
      <c r="S16" s="1" t="s">
        <v>269</v>
      </c>
      <c r="T16" s="129">
        <f>1/T17</f>
        <v>1.0941742837052104</v>
      </c>
    </row>
    <row r="17" spans="2:20" x14ac:dyDescent="0.3">
      <c r="B17" s="1" t="s">
        <v>93</v>
      </c>
      <c r="C17" s="160">
        <f>1-C16</f>
        <v>0.5</v>
      </c>
      <c r="G17" s="17"/>
      <c r="J17" s="17"/>
      <c r="K17" s="17"/>
      <c r="N17" s="191"/>
      <c r="S17" s="1" t="s">
        <v>270</v>
      </c>
      <c r="T17" s="191">
        <f>EXP(-K16)</f>
        <v>0.91393118527122819</v>
      </c>
    </row>
    <row r="18" spans="2:20" x14ac:dyDescent="0.3">
      <c r="C18" s="13"/>
      <c r="G18" s="17"/>
      <c r="K18" s="13"/>
    </row>
    <row r="19" spans="2:20" x14ac:dyDescent="0.3">
      <c r="B19" s="1" t="s">
        <v>95</v>
      </c>
      <c r="C19" s="13">
        <f>O7</f>
        <v>4.0472684625240216</v>
      </c>
      <c r="G19" s="17"/>
      <c r="I19" s="14"/>
    </row>
    <row r="20" spans="2:20" x14ac:dyDescent="0.3">
      <c r="B20" s="1" t="s">
        <v>96</v>
      </c>
      <c r="C20" s="23">
        <f>(C16*C4+C5*C17)/C2-1</f>
        <v>4.0527344882193006E-3</v>
      </c>
      <c r="G20" s="17"/>
    </row>
    <row r="21" spans="2:20" x14ac:dyDescent="0.3">
      <c r="B21" s="1" t="s">
        <v>97</v>
      </c>
      <c r="C21" s="23">
        <f>(C16*Q5+C17*Q9)/O7-1</f>
        <v>-4.303440736438624E-2</v>
      </c>
      <c r="G21" s="17"/>
    </row>
    <row r="22" spans="2:20" x14ac:dyDescent="0.3">
      <c r="B22" s="1" t="s">
        <v>98</v>
      </c>
      <c r="C22" s="23">
        <f>((C16*C4+T17*C5)+(Q9*C17))/(C2+O7)-1</f>
        <v>0.3640508709475474</v>
      </c>
      <c r="G22" s="17"/>
    </row>
    <row r="23" spans="2:20" x14ac:dyDescent="0.3">
      <c r="B23" s="1" t="s">
        <v>267</v>
      </c>
      <c r="C23" s="23">
        <f>(M5*C16+M9*C17)/K7-1</f>
        <v>4.7087141852605541E-2</v>
      </c>
      <c r="G23" s="17"/>
    </row>
    <row r="24" spans="2:20" x14ac:dyDescent="0.3">
      <c r="B24" s="1" t="s">
        <v>268</v>
      </c>
      <c r="C24" s="23">
        <f>((C4*C16+C5*C17)+(C16*M5+C17*M9))/(K7+C2)-1</f>
        <v>5.9046947054230969E-3</v>
      </c>
      <c r="G24" s="17"/>
    </row>
    <row r="26" spans="2:20" x14ac:dyDescent="0.3">
      <c r="B26" s="193" t="s">
        <v>342</v>
      </c>
    </row>
  </sheetData>
  <hyperlinks>
    <hyperlink ref="B26" location="Assumptions!A1" display="Jump to front" xr:uid="{961563F7-059A-4EC3-AE4C-FC7A632885FC}"/>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E118C-D0AD-41E7-8D00-AAA4BA6C224C}">
  <sheetPr codeName="Sheet3"/>
  <dimension ref="B1:Y24"/>
  <sheetViews>
    <sheetView workbookViewId="0">
      <selection activeCell="B24" sqref="B24"/>
    </sheetView>
  </sheetViews>
  <sheetFormatPr defaultColWidth="9.109375" defaultRowHeight="13.8" x14ac:dyDescent="0.3"/>
  <cols>
    <col min="1" max="1" width="0.88671875" style="1" customWidth="1"/>
    <col min="2" max="2" width="40.21875" style="1" bestFit="1" customWidth="1"/>
    <col min="3" max="3" width="8.6640625" style="1" customWidth="1"/>
    <col min="4" max="4" width="1.6640625" style="1" customWidth="1"/>
    <col min="5" max="5" width="7.6640625" style="1" customWidth="1"/>
    <col min="6" max="6" width="1.6640625" style="1" customWidth="1"/>
    <col min="7" max="7" width="7.6640625" style="1" customWidth="1"/>
    <col min="8" max="8" width="2.6640625" style="1" customWidth="1"/>
    <col min="9" max="10" width="7.6640625" style="1" customWidth="1"/>
    <col min="11" max="11" width="2.6640625" style="1" customWidth="1"/>
    <col min="12" max="12" width="8.77734375" style="1" bestFit="1" customWidth="1"/>
    <col min="13" max="13" width="1.6640625" style="1" customWidth="1"/>
    <col min="14" max="14" width="7.6640625" style="1" customWidth="1"/>
    <col min="15" max="15" width="2.6640625" style="1" customWidth="1"/>
    <col min="16" max="16" width="7.6640625" style="1" customWidth="1"/>
    <col min="17" max="17" width="2.6640625" style="1" customWidth="1"/>
    <col min="18" max="18" width="7.6640625" style="1" customWidth="1"/>
    <col min="19" max="19" width="1.6640625" style="1" customWidth="1"/>
    <col min="20" max="20" width="7.6640625" style="1" customWidth="1"/>
    <col min="21" max="21" width="2.6640625" style="1" customWidth="1"/>
    <col min="22" max="22" width="7.6640625" style="1" customWidth="1"/>
    <col min="23" max="23" width="1.6640625" style="1" customWidth="1"/>
    <col min="24" max="24" width="7.6640625" style="1" customWidth="1"/>
    <col min="25" max="25" width="1.6640625" style="1" customWidth="1"/>
    <col min="26" max="16384" width="9.109375" style="1"/>
  </cols>
  <sheetData>
    <row r="1" spans="2:25" ht="4.95" customHeight="1" thickBot="1" x14ac:dyDescent="0.35"/>
    <row r="2" spans="2:25" x14ac:dyDescent="0.3">
      <c r="B2" s="3" t="s">
        <v>16</v>
      </c>
      <c r="C2" s="51">
        <f>Assumptions!B2</f>
        <v>90</v>
      </c>
      <c r="E2" s="3"/>
      <c r="F2" s="6"/>
      <c r="G2" s="6" t="s">
        <v>21</v>
      </c>
      <c r="H2" s="6"/>
      <c r="I2" s="6"/>
      <c r="J2" s="6" t="s">
        <v>5</v>
      </c>
      <c r="K2" s="6"/>
      <c r="L2" s="6"/>
      <c r="M2" s="6"/>
      <c r="N2" s="7" t="s">
        <v>6</v>
      </c>
      <c r="O2" s="6"/>
      <c r="P2" s="6"/>
      <c r="Q2" s="6"/>
      <c r="R2" s="6"/>
      <c r="S2" s="6"/>
      <c r="T2" s="6" t="s">
        <v>7</v>
      </c>
      <c r="U2" s="6"/>
      <c r="V2" s="6"/>
      <c r="W2" s="6"/>
      <c r="X2" s="6"/>
      <c r="Y2" s="8"/>
    </row>
    <row r="3" spans="2:25" x14ac:dyDescent="0.3">
      <c r="B3" s="4" t="s">
        <v>0</v>
      </c>
      <c r="C3" s="36">
        <f>Assumptions!B3</f>
        <v>90</v>
      </c>
      <c r="E3" s="4"/>
      <c r="L3" s="41">
        <f>I5/G7*I5</f>
        <v>99.222982941078016</v>
      </c>
      <c r="N3" s="16"/>
      <c r="R3" s="41">
        <f>MAX(L3-$C$3,0)</f>
        <v>9.2229829410780155</v>
      </c>
      <c r="X3" s="41">
        <f>MAX($C$3-L3,0)</f>
        <v>0</v>
      </c>
      <c r="Y3" s="5"/>
    </row>
    <row r="4" spans="2:25" x14ac:dyDescent="0.3">
      <c r="B4" s="4" t="s">
        <v>1</v>
      </c>
      <c r="C4" s="36">
        <f>C2*C18</f>
        <v>94.499039490870075</v>
      </c>
      <c r="E4" s="4"/>
      <c r="N4" s="16"/>
      <c r="Y4" s="5"/>
    </row>
    <row r="5" spans="2:25" x14ac:dyDescent="0.3">
      <c r="B5" s="4" t="s">
        <v>2</v>
      </c>
      <c r="C5" s="36">
        <f>C2*C19</f>
        <v>85.715156933236059</v>
      </c>
      <c r="E5" s="4"/>
      <c r="I5" s="41">
        <f>C4</f>
        <v>94.499039490870075</v>
      </c>
      <c r="J5" s="69">
        <f>(I7-I9)/(I5-I9)</f>
        <v>0.48780741757982765</v>
      </c>
      <c r="K5" s="2"/>
      <c r="P5" s="41">
        <f>R5/(1+$C$6)^(R$13-P$13)</f>
        <v>4.4990394908700706</v>
      </c>
      <c r="Q5" s="2"/>
      <c r="R5" s="42">
        <f>R3*$J$5+R7*$J$9</f>
        <v>4.4990394908700706</v>
      </c>
      <c r="V5" s="41">
        <f>X5/(1+$C$6)^(X$13-V$13)</f>
        <v>0</v>
      </c>
      <c r="W5" s="2"/>
      <c r="X5" s="42">
        <f>X3*$J$5+X7*$J$9</f>
        <v>0</v>
      </c>
      <c r="Y5" s="5"/>
    </row>
    <row r="6" spans="2:25" x14ac:dyDescent="0.3">
      <c r="B6" s="4" t="s">
        <v>3</v>
      </c>
      <c r="C6" s="24">
        <f>Assumptions!B5</f>
        <v>0</v>
      </c>
      <c r="E6" s="4"/>
      <c r="Y6" s="5"/>
    </row>
    <row r="7" spans="2:25" x14ac:dyDescent="0.3">
      <c r="B7" s="4" t="s">
        <v>15</v>
      </c>
      <c r="C7" s="25">
        <f>C8/2</f>
        <v>0.25</v>
      </c>
      <c r="E7" s="4"/>
      <c r="G7" s="40">
        <f>C2</f>
        <v>90</v>
      </c>
      <c r="I7" s="49">
        <f>G7*(1+C6)^C7</f>
        <v>90</v>
      </c>
      <c r="K7" s="2"/>
      <c r="L7" s="41">
        <f>I5/G7*I9</f>
        <v>90</v>
      </c>
      <c r="N7" s="40">
        <f>P7/(1+$C$6)^P13</f>
        <v>2.1946648356309919</v>
      </c>
      <c r="O7" s="2"/>
      <c r="P7" s="42">
        <f>P5*$J$5+P9*$J$9</f>
        <v>2.1946648356309919</v>
      </c>
      <c r="Q7" s="2"/>
      <c r="R7" s="41">
        <f>MAX(L7-$C$3,0)</f>
        <v>0</v>
      </c>
      <c r="T7" s="40">
        <f>V7/(1+$C$6)^V13</f>
        <v>2.1946648356309919</v>
      </c>
      <c r="U7" s="2"/>
      <c r="V7" s="42">
        <f>V5*$J$5+V9*$J$9</f>
        <v>2.1946648356309919</v>
      </c>
      <c r="W7" s="2"/>
      <c r="X7" s="41">
        <f>MAX($C$3-L7,0)</f>
        <v>0</v>
      </c>
      <c r="Y7" s="5"/>
    </row>
    <row r="8" spans="2:25" ht="14.4" thickBot="1" x14ac:dyDescent="0.35">
      <c r="B8" s="4" t="s">
        <v>4</v>
      </c>
      <c r="C8" s="25">
        <f>Assumptions!B4</f>
        <v>0.5</v>
      </c>
      <c r="E8" s="4"/>
      <c r="Y8" s="5"/>
    </row>
    <row r="9" spans="2:25" x14ac:dyDescent="0.3">
      <c r="B9" s="10" t="s">
        <v>8</v>
      </c>
      <c r="C9" s="37">
        <f>N7</f>
        <v>2.1946648356309919</v>
      </c>
      <c r="E9" s="4"/>
      <c r="I9" s="41">
        <f>C5</f>
        <v>85.715156933236059</v>
      </c>
      <c r="J9" s="69">
        <f>1-J5</f>
        <v>0.51219258242017229</v>
      </c>
      <c r="K9" s="2"/>
      <c r="L9" s="2"/>
      <c r="P9" s="41">
        <f>R9/(1+$C$6)^(R$13-P$13)</f>
        <v>0</v>
      </c>
      <c r="Q9" s="2"/>
      <c r="R9" s="42">
        <f>R7*$J$5+R11*$J$9</f>
        <v>0</v>
      </c>
      <c r="V9" s="41">
        <f>X9/(1+$C$6)^(X$13-V$13)</f>
        <v>4.2848430667639379</v>
      </c>
      <c r="W9" s="2"/>
      <c r="X9" s="42">
        <f>X7*$J$5+X11*$J$9</f>
        <v>4.2848430667639379</v>
      </c>
      <c r="Y9" s="5"/>
    </row>
    <row r="10" spans="2:25" x14ac:dyDescent="0.3">
      <c r="B10" s="11" t="s">
        <v>11</v>
      </c>
      <c r="C10" s="38">
        <f>MAX(C2-C3,0)</f>
        <v>0</v>
      </c>
      <c r="E10" s="4"/>
      <c r="I10" s="2"/>
      <c r="J10" s="15"/>
      <c r="K10" s="2"/>
      <c r="L10" s="2"/>
      <c r="P10" s="2"/>
      <c r="Q10" s="2"/>
      <c r="R10" s="2"/>
      <c r="V10" s="2"/>
      <c r="W10" s="2"/>
      <c r="X10" s="2"/>
      <c r="Y10" s="5"/>
    </row>
    <row r="11" spans="2:25" ht="14.4" thickBot="1" x14ac:dyDescent="0.35">
      <c r="B11" s="12" t="s">
        <v>12</v>
      </c>
      <c r="C11" s="39">
        <f>C9-C10</f>
        <v>2.1946648356309919</v>
      </c>
      <c r="E11" s="4"/>
      <c r="I11" s="2"/>
      <c r="J11" s="15"/>
      <c r="K11" s="2"/>
      <c r="L11" s="41">
        <f>I9/G7*I9</f>
        <v>81.634312534325403</v>
      </c>
      <c r="P11" s="2"/>
      <c r="Q11" s="2"/>
      <c r="R11" s="41">
        <f>MAX(L11-$C$3,0)</f>
        <v>0</v>
      </c>
      <c r="V11" s="2"/>
      <c r="W11" s="2"/>
      <c r="X11" s="41">
        <f>MAX($C$3-L11,0)</f>
        <v>8.365687465674597</v>
      </c>
      <c r="Y11" s="5"/>
    </row>
    <row r="12" spans="2:25" x14ac:dyDescent="0.3">
      <c r="B12" s="11" t="s">
        <v>9</v>
      </c>
      <c r="C12" s="38">
        <f>T7</f>
        <v>2.1946648356309919</v>
      </c>
      <c r="E12" s="4"/>
      <c r="Y12" s="5"/>
    </row>
    <row r="13" spans="2:25" ht="14.4" thickBot="1" x14ac:dyDescent="0.35">
      <c r="B13" s="11" t="s">
        <v>13</v>
      </c>
      <c r="C13" s="38">
        <f>MAX(C3-C2,0)</f>
        <v>0</v>
      </c>
      <c r="E13" s="22" t="s">
        <v>10</v>
      </c>
      <c r="F13" s="18"/>
      <c r="G13" s="19">
        <v>0</v>
      </c>
      <c r="H13" s="20"/>
      <c r="I13" s="19">
        <f>G13+$C$7</f>
        <v>0.25</v>
      </c>
      <c r="J13" s="21"/>
      <c r="K13" s="19"/>
      <c r="L13" s="19">
        <f>I13+$C$7</f>
        <v>0.5</v>
      </c>
      <c r="M13" s="21"/>
      <c r="N13" s="21">
        <f>G13</f>
        <v>0</v>
      </c>
      <c r="O13" s="21"/>
      <c r="P13" s="21">
        <f>N13+$C$7</f>
        <v>0.25</v>
      </c>
      <c r="Q13" s="21"/>
      <c r="R13" s="21">
        <f>P13+$C$7</f>
        <v>0.5</v>
      </c>
      <c r="S13" s="21"/>
      <c r="T13" s="21">
        <f>G13</f>
        <v>0</v>
      </c>
      <c r="U13" s="21"/>
      <c r="V13" s="21">
        <f>T13+$C$7</f>
        <v>0.25</v>
      </c>
      <c r="W13" s="21"/>
      <c r="X13" s="21">
        <f>V13+$C$7</f>
        <v>0.5</v>
      </c>
      <c r="Y13" s="9"/>
    </row>
    <row r="14" spans="2:25" ht="14.4" thickBot="1" x14ac:dyDescent="0.35">
      <c r="B14" s="12" t="s">
        <v>14</v>
      </c>
      <c r="C14" s="39">
        <f>C12-C13</f>
        <v>2.1946648356309919</v>
      </c>
      <c r="N14" s="17"/>
    </row>
    <row r="15" spans="2:25" x14ac:dyDescent="0.3">
      <c r="I15" s="13"/>
      <c r="J15" s="17"/>
      <c r="K15" s="13"/>
      <c r="L15" s="13"/>
      <c r="N15" s="17"/>
      <c r="P15" s="13"/>
      <c r="R15" s="17"/>
      <c r="X15" s="2"/>
    </row>
    <row r="16" spans="2:25" x14ac:dyDescent="0.3">
      <c r="B16" s="1" t="s">
        <v>17</v>
      </c>
      <c r="C16" s="23">
        <f>C17/SQRT(12)</f>
        <v>2.8163146131069943E-2</v>
      </c>
      <c r="N16" s="17"/>
      <c r="P16" s="17"/>
      <c r="R16" s="17"/>
    </row>
    <row r="17" spans="2:18" x14ac:dyDescent="0.3">
      <c r="B17" s="1" t="s">
        <v>18</v>
      </c>
      <c r="C17" s="23">
        <f>Assumptions!B1</f>
        <v>9.7559999999999994E-2</v>
      </c>
      <c r="J17" s="17"/>
      <c r="L17" s="14"/>
      <c r="N17" s="17"/>
      <c r="P17" s="14"/>
      <c r="R17" s="17"/>
    </row>
    <row r="18" spans="2:18" x14ac:dyDescent="0.3">
      <c r="B18" s="1" t="s">
        <v>19</v>
      </c>
      <c r="C18" s="13">
        <f>EXP(C17*SQRT(C7))</f>
        <v>1.0499893276763341</v>
      </c>
      <c r="N18" s="13"/>
    </row>
    <row r="19" spans="2:18" x14ac:dyDescent="0.3">
      <c r="B19" s="1" t="s">
        <v>20</v>
      </c>
      <c r="C19" s="13">
        <f>1/C18</f>
        <v>0.9523906325915118</v>
      </c>
      <c r="I19" s="14"/>
    </row>
    <row r="21" spans="2:18" x14ac:dyDescent="0.3">
      <c r="C21" s="13">
        <f>C17*SQRT(C7)</f>
        <v>4.8779999999999997E-2</v>
      </c>
    </row>
    <row r="24" spans="2:18" x14ac:dyDescent="0.3">
      <c r="B24" s="193" t="s">
        <v>342</v>
      </c>
    </row>
  </sheetData>
  <hyperlinks>
    <hyperlink ref="B24" location="Assumptions!A1" display="Jump to front" xr:uid="{DFF99E0D-D33A-47ED-9DC9-8F29E0E3F337}"/>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4E813-BF04-4DEA-876E-4BB5CBC5229F}">
  <sheetPr codeName="Sheet4"/>
  <dimension ref="B1:AE25"/>
  <sheetViews>
    <sheetView workbookViewId="0">
      <selection activeCell="B25" sqref="B25"/>
    </sheetView>
  </sheetViews>
  <sheetFormatPr defaultColWidth="9.109375" defaultRowHeight="13.8" x14ac:dyDescent="0.3"/>
  <cols>
    <col min="1" max="1" width="0.88671875" style="1" customWidth="1"/>
    <col min="2" max="2" width="40.21875" style="1" bestFit="1" customWidth="1"/>
    <col min="3" max="3" width="8.6640625" style="1" customWidth="1"/>
    <col min="4" max="4" width="1.6640625" style="1" customWidth="1"/>
    <col min="5" max="5" width="7.6640625" style="1" customWidth="1"/>
    <col min="6" max="6" width="1.6640625" style="1" customWidth="1"/>
    <col min="7" max="7" width="7.6640625" style="1" customWidth="1"/>
    <col min="8" max="8" width="2.6640625" style="1" customWidth="1"/>
    <col min="9" max="10" width="7.6640625" style="1" customWidth="1"/>
    <col min="11" max="11" width="2.6640625" style="1" customWidth="1"/>
    <col min="12" max="12" width="8.77734375" style="1" bestFit="1" customWidth="1"/>
    <col min="13" max="13" width="1.6640625" style="1" customWidth="1"/>
    <col min="14" max="14" width="7.6640625" style="1" customWidth="1"/>
    <col min="15" max="15" width="1.6640625" style="1" customWidth="1"/>
    <col min="16" max="16" width="7.6640625" style="1" customWidth="1"/>
    <col min="17" max="17" width="2.6640625" style="1" customWidth="1"/>
    <col min="18" max="18" width="7.6640625" style="1" customWidth="1"/>
    <col min="19" max="19" width="2.6640625" style="1" customWidth="1"/>
    <col min="20" max="20" width="7.6640625" style="1" customWidth="1"/>
    <col min="21" max="21" width="2.6640625" style="1" customWidth="1"/>
    <col min="22" max="22" width="7.6640625" style="1" customWidth="1"/>
    <col min="23" max="23" width="1.6640625" style="1" customWidth="1"/>
    <col min="24" max="24" width="7.6640625" style="1" customWidth="1"/>
    <col min="25" max="25" width="2.6640625" style="1" customWidth="1"/>
    <col min="26" max="26" width="7.6640625" style="1" customWidth="1"/>
    <col min="27" max="27" width="1.6640625" style="1" customWidth="1"/>
    <col min="28" max="28" width="7.6640625" style="1" customWidth="1"/>
    <col min="29" max="29" width="2.6640625" style="1" customWidth="1"/>
    <col min="30" max="30" width="7.6640625" style="1" customWidth="1"/>
    <col min="31" max="31" width="1.6640625" style="1" customWidth="1"/>
    <col min="32" max="16384" width="9.109375" style="1"/>
  </cols>
  <sheetData>
    <row r="1" spans="2:31" ht="4.95" customHeight="1" thickBot="1" x14ac:dyDescent="0.35"/>
    <row r="2" spans="2:31" x14ac:dyDescent="0.3">
      <c r="B2" s="3" t="s">
        <v>16</v>
      </c>
      <c r="C2" s="51">
        <f>Assumptions!B2</f>
        <v>90</v>
      </c>
      <c r="E2" s="10"/>
      <c r="F2" s="59"/>
      <c r="G2" s="59" t="s">
        <v>21</v>
      </c>
      <c r="H2" s="59"/>
      <c r="I2" s="59"/>
      <c r="J2" s="59" t="s">
        <v>5</v>
      </c>
      <c r="K2" s="59"/>
      <c r="L2" s="59"/>
      <c r="M2" s="59"/>
      <c r="N2" s="59"/>
      <c r="O2" s="59"/>
      <c r="P2" s="60" t="s">
        <v>6</v>
      </c>
      <c r="Q2" s="59"/>
      <c r="R2" s="59"/>
      <c r="S2" s="59"/>
      <c r="T2" s="59"/>
      <c r="U2" s="59"/>
      <c r="V2" s="59"/>
      <c r="W2" s="59"/>
      <c r="X2" s="59" t="s">
        <v>7</v>
      </c>
      <c r="Y2" s="59"/>
      <c r="Z2" s="59"/>
      <c r="AA2" s="59"/>
      <c r="AB2" s="59"/>
      <c r="AC2" s="59"/>
      <c r="AD2" s="59"/>
      <c r="AE2" s="61"/>
    </row>
    <row r="3" spans="2:31" x14ac:dyDescent="0.3">
      <c r="B3" s="4" t="s">
        <v>0</v>
      </c>
      <c r="C3" s="36">
        <f>Assumptions!B3</f>
        <v>90</v>
      </c>
      <c r="E3" s="11"/>
      <c r="P3" s="16"/>
      <c r="AE3" s="62"/>
    </row>
    <row r="4" spans="2:31" x14ac:dyDescent="0.3">
      <c r="B4" s="4" t="s">
        <v>1</v>
      </c>
      <c r="C4" s="36">
        <f>C2*C18</f>
        <v>93.65692517324166</v>
      </c>
      <c r="E4" s="11"/>
      <c r="N4" s="41">
        <f>L6*C18</f>
        <v>101.42258316138673</v>
      </c>
      <c r="P4" s="16"/>
      <c r="V4" s="41">
        <f>MAX(N4-$C$3,0)</f>
        <v>11.422583161386726</v>
      </c>
      <c r="AD4" s="41">
        <f>MAX($C$3-N4,0)</f>
        <v>0</v>
      </c>
      <c r="AE4" s="62"/>
    </row>
    <row r="5" spans="2:31" x14ac:dyDescent="0.3">
      <c r="B5" s="4" t="s">
        <v>2</v>
      </c>
      <c r="C5" s="36">
        <f>C2*C19</f>
        <v>86.485863004973154</v>
      </c>
      <c r="E5" s="11"/>
      <c r="AE5" s="62"/>
    </row>
    <row r="6" spans="2:31" x14ac:dyDescent="0.3">
      <c r="B6" s="4" t="s">
        <v>3</v>
      </c>
      <c r="C6" s="24">
        <f>Assumptions!B5</f>
        <v>0</v>
      </c>
      <c r="E6" s="11"/>
      <c r="L6" s="41">
        <f>I8/G10*I8</f>
        <v>97.462440365624317</v>
      </c>
      <c r="P6" s="16"/>
      <c r="T6" s="41">
        <f>V6/(1+$C$6)^(V$18-T$18)</f>
        <v>7.4624403656243175</v>
      </c>
      <c r="U6" s="58"/>
      <c r="V6" s="42">
        <f>V4*$J$8+V8*$J$12</f>
        <v>7.4624403656243175</v>
      </c>
      <c r="AB6" s="41">
        <f>AD6/(1+$C$6)^(AD$18-AB$18)</f>
        <v>0</v>
      </c>
      <c r="AC6" s="58"/>
      <c r="AD6" s="42">
        <f>AD4*$J$8+AD8*$J$12</f>
        <v>0</v>
      </c>
      <c r="AE6" s="62"/>
    </row>
    <row r="7" spans="2:31" x14ac:dyDescent="0.3">
      <c r="B7" s="4" t="s">
        <v>15</v>
      </c>
      <c r="C7" s="25">
        <f>C8/3</f>
        <v>0.16666666666666666</v>
      </c>
      <c r="E7" s="11"/>
      <c r="P7" s="16"/>
      <c r="AE7" s="62"/>
    </row>
    <row r="8" spans="2:31" ht="14.4" thickBot="1" x14ac:dyDescent="0.35">
      <c r="B8" s="4" t="s">
        <v>4</v>
      </c>
      <c r="C8" s="25">
        <f>Assumptions!B4</f>
        <v>0.5</v>
      </c>
      <c r="E8" s="11"/>
      <c r="I8" s="41">
        <f>C4</f>
        <v>93.65692517324166</v>
      </c>
      <c r="J8" s="69">
        <f>(I10-I12)/(I8-I12)</f>
        <v>0.49004414026372245</v>
      </c>
      <c r="K8" s="2"/>
      <c r="N8" s="41">
        <f>L6*C19</f>
        <v>93.65692517324166</v>
      </c>
      <c r="R8" s="41">
        <f>T8/(1+$C$6)^(T$18-R$18)</f>
        <v>4.570793995262572</v>
      </c>
      <c r="S8" s="2"/>
      <c r="T8" s="42">
        <f>T6*$J$8+T10*$J$12</f>
        <v>4.570793995262572</v>
      </c>
      <c r="U8" s="58"/>
      <c r="V8" s="41">
        <f>MAX(N8-$C$3,0)</f>
        <v>3.6569251732416603</v>
      </c>
      <c r="Z8" s="41">
        <f>AB8/(1+$C$6)^(AB$18-Z$18)</f>
        <v>0.91386882202090125</v>
      </c>
      <c r="AA8" s="2"/>
      <c r="AB8" s="42">
        <f>AB6*$J$8+AB10*$J$12</f>
        <v>0.91386882202090125</v>
      </c>
      <c r="AC8" s="58"/>
      <c r="AD8" s="41">
        <f>MAX($C$3-N8,0)</f>
        <v>0</v>
      </c>
      <c r="AE8" s="62"/>
    </row>
    <row r="9" spans="2:31" x14ac:dyDescent="0.3">
      <c r="B9" s="10" t="s">
        <v>8</v>
      </c>
      <c r="C9" s="37">
        <f>P10</f>
        <v>2.6877268749320873</v>
      </c>
      <c r="E9" s="11"/>
      <c r="AE9" s="62"/>
    </row>
    <row r="10" spans="2:31" x14ac:dyDescent="0.3">
      <c r="B10" s="11" t="s">
        <v>11</v>
      </c>
      <c r="C10" s="38">
        <f>MAX(C2-C3,0)</f>
        <v>0</v>
      </c>
      <c r="E10" s="11"/>
      <c r="G10" s="40">
        <f>C2</f>
        <v>90</v>
      </c>
      <c r="I10" s="49">
        <f>G10*(1+C6)^C7</f>
        <v>90</v>
      </c>
      <c r="K10" s="2"/>
      <c r="L10" s="41">
        <f>I8/G10*I12</f>
        <v>90</v>
      </c>
      <c r="P10" s="40">
        <f>R10/(1+$C$6)^R18</f>
        <v>2.6877268749320873</v>
      </c>
      <c r="Q10" s="2"/>
      <c r="R10" s="42">
        <f>R8*$J$8+R12*$J$12</f>
        <v>2.6877268749320873</v>
      </c>
      <c r="S10" s="2"/>
      <c r="T10" s="41">
        <f>V10/(1+$C$6)^(V$18-T$18)</f>
        <v>1.7920547525299737</v>
      </c>
      <c r="U10" s="58"/>
      <c r="V10" s="42">
        <f>V8*$J$8+V12*$J$12</f>
        <v>1.7920547525299737</v>
      </c>
      <c r="X10" s="40">
        <f>Z10/(1+$C$6)^Z18</f>
        <v>2.6877268749320775</v>
      </c>
      <c r="Y10" s="2"/>
      <c r="Z10" s="42">
        <f>Z8*$J$8+Z12*$J$12</f>
        <v>2.6877268749320775</v>
      </c>
      <c r="AA10" s="2"/>
      <c r="AB10" s="41">
        <f>AD10/(1+$C$6)^(AD$18-AB$18)</f>
        <v>1.7920547525299666</v>
      </c>
      <c r="AC10" s="58"/>
      <c r="AD10" s="42">
        <f>AD8*$J$8+AD12*$J$12</f>
        <v>1.7920547525299666</v>
      </c>
      <c r="AE10" s="62"/>
    </row>
    <row r="11" spans="2:31" ht="14.4" thickBot="1" x14ac:dyDescent="0.35">
      <c r="B11" s="12" t="s">
        <v>12</v>
      </c>
      <c r="C11" s="39">
        <f>C9-C10</f>
        <v>2.6877268749320873</v>
      </c>
      <c r="E11" s="11"/>
      <c r="AE11" s="62"/>
    </row>
    <row r="12" spans="2:31" x14ac:dyDescent="0.3">
      <c r="B12" s="11" t="s">
        <v>9</v>
      </c>
      <c r="C12" s="38">
        <f>X10</f>
        <v>2.6877268749320775</v>
      </c>
      <c r="E12" s="11"/>
      <c r="I12" s="41">
        <f>C5</f>
        <v>86.485863004973154</v>
      </c>
      <c r="J12" s="69">
        <f>1-J8</f>
        <v>0.50995585973627755</v>
      </c>
      <c r="K12" s="2"/>
      <c r="L12" s="2"/>
      <c r="N12" s="41">
        <f>L14*C18</f>
        <v>86.485863004973169</v>
      </c>
      <c r="R12" s="41">
        <f>T12/(1+$C$6)^(T$18-R$18)</f>
        <v>0.8781859305090689</v>
      </c>
      <c r="S12" s="2"/>
      <c r="T12" s="42">
        <f>T10*$J$8+T14*$J$12</f>
        <v>0.8781859305090689</v>
      </c>
      <c r="U12" s="58"/>
      <c r="V12" s="41">
        <f>MAX(N12-$C$3,0)</f>
        <v>0</v>
      </c>
      <c r="Z12" s="41">
        <f>AB12/(1+$C$6)^(AB$18-Z$18)</f>
        <v>4.3923229255359049</v>
      </c>
      <c r="AA12" s="2"/>
      <c r="AB12" s="42">
        <f>AB10*$J$8+AB14*$J$12</f>
        <v>4.3923229255359049</v>
      </c>
      <c r="AC12" s="58"/>
      <c r="AD12" s="41">
        <f>MAX($C$3-N12,0)</f>
        <v>3.5141369950268313</v>
      </c>
      <c r="AE12" s="62"/>
    </row>
    <row r="13" spans="2:31" x14ac:dyDescent="0.3">
      <c r="B13" s="11" t="s">
        <v>13</v>
      </c>
      <c r="C13" s="38">
        <f>MAX(C3-C2,0)</f>
        <v>0</v>
      </c>
      <c r="E13" s="11"/>
      <c r="I13" s="2"/>
      <c r="J13" s="15"/>
      <c r="K13" s="2"/>
      <c r="L13" s="2"/>
      <c r="R13" s="2"/>
      <c r="S13" s="2"/>
      <c r="T13" s="2"/>
      <c r="U13" s="2"/>
      <c r="V13" s="2"/>
      <c r="Z13" s="2"/>
      <c r="AA13" s="2"/>
      <c r="AB13" s="2"/>
      <c r="AC13" s="2"/>
      <c r="AD13" s="2"/>
      <c r="AE13" s="62"/>
    </row>
    <row r="14" spans="2:31" ht="14.4" thickBot="1" x14ac:dyDescent="0.35">
      <c r="B14" s="12" t="s">
        <v>14</v>
      </c>
      <c r="C14" s="39">
        <f>C12-C13</f>
        <v>2.6877268749320775</v>
      </c>
      <c r="E14" s="11"/>
      <c r="I14" s="2"/>
      <c r="J14" s="15"/>
      <c r="K14" s="2"/>
      <c r="L14" s="41">
        <f>I12/G10*I12</f>
        <v>83.108938885722054</v>
      </c>
      <c r="R14" s="2"/>
      <c r="S14" s="2"/>
      <c r="T14" s="41">
        <f>V14/(1+$C$6)^(V$18-T$18)</f>
        <v>0</v>
      </c>
      <c r="U14" s="58"/>
      <c r="V14" s="42">
        <f>V12*$J$8+V16*$J$12</f>
        <v>0</v>
      </c>
      <c r="Z14" s="2"/>
      <c r="AA14" s="2"/>
      <c r="AB14" s="41">
        <f>AD14/(1+$C$6)^(AD$18-AB$18)</f>
        <v>6.8910611142779441</v>
      </c>
      <c r="AC14" s="58"/>
      <c r="AD14" s="42">
        <f>AD12*$J$8+AD16*$J$12</f>
        <v>6.8910611142779441</v>
      </c>
      <c r="AE14" s="62"/>
    </row>
    <row r="15" spans="2:31" x14ac:dyDescent="0.3">
      <c r="E15" s="11"/>
      <c r="AE15" s="62"/>
    </row>
    <row r="16" spans="2:31" x14ac:dyDescent="0.3">
      <c r="B16" s="1" t="s">
        <v>17</v>
      </c>
      <c r="C16" s="23">
        <f>C17/SQRT(12)</f>
        <v>2.8163146131069943E-2</v>
      </c>
      <c r="E16" s="11"/>
      <c r="I16" s="13"/>
      <c r="J16" s="17"/>
      <c r="K16" s="13"/>
      <c r="L16" s="13"/>
      <c r="N16" s="41">
        <f>L14*C19</f>
        <v>79.863870032880484</v>
      </c>
      <c r="P16" s="17"/>
      <c r="R16" s="13"/>
      <c r="T16" s="17"/>
      <c r="U16" s="17"/>
      <c r="V16" s="41">
        <f>MAX(N16-$C$3,0)</f>
        <v>0</v>
      </c>
      <c r="AB16" s="2"/>
      <c r="AC16" s="2"/>
      <c r="AD16" s="41">
        <f>MAX($C$3-N16,0)</f>
        <v>10.136129967119516</v>
      </c>
      <c r="AE16" s="62"/>
    </row>
    <row r="17" spans="2:31" x14ac:dyDescent="0.3">
      <c r="B17" s="1" t="s">
        <v>18</v>
      </c>
      <c r="C17" s="23">
        <f>Assumptions!B1</f>
        <v>9.7559999999999994E-2</v>
      </c>
      <c r="E17" s="11"/>
      <c r="P17" s="17"/>
      <c r="AE17" s="62"/>
    </row>
    <row r="18" spans="2:31" ht="14.4" thickBot="1" x14ac:dyDescent="0.35">
      <c r="B18" s="1" t="s">
        <v>19</v>
      </c>
      <c r="C18" s="13">
        <f>EXP(C17*SQRT(C7))</f>
        <v>1.0406325019249074</v>
      </c>
      <c r="E18" s="63" t="s">
        <v>10</v>
      </c>
      <c r="F18" s="64"/>
      <c r="G18" s="65">
        <v>0</v>
      </c>
      <c r="H18" s="66"/>
      <c r="I18" s="65">
        <f>G18+$C$7</f>
        <v>0.16666666666666666</v>
      </c>
      <c r="J18" s="67"/>
      <c r="K18" s="65"/>
      <c r="L18" s="65">
        <f>I18+$C$7</f>
        <v>0.33333333333333331</v>
      </c>
      <c r="M18" s="67"/>
      <c r="N18" s="65">
        <f>L18+$C$7</f>
        <v>0.5</v>
      </c>
      <c r="O18" s="67"/>
      <c r="P18" s="67">
        <f>G18</f>
        <v>0</v>
      </c>
      <c r="Q18" s="67"/>
      <c r="R18" s="67">
        <f>P18+$C$7</f>
        <v>0.16666666666666666</v>
      </c>
      <c r="S18" s="67"/>
      <c r="T18" s="67">
        <f>R18+$C$7</f>
        <v>0.33333333333333331</v>
      </c>
      <c r="U18" s="67"/>
      <c r="V18" s="67">
        <f>T18+$C$7</f>
        <v>0.5</v>
      </c>
      <c r="W18" s="67"/>
      <c r="X18" s="67">
        <f>G18</f>
        <v>0</v>
      </c>
      <c r="Y18" s="67"/>
      <c r="Z18" s="67">
        <f>X18+$C$7</f>
        <v>0.16666666666666666</v>
      </c>
      <c r="AA18" s="67"/>
      <c r="AB18" s="67">
        <f>Z18+$C$7</f>
        <v>0.33333333333333331</v>
      </c>
      <c r="AC18" s="67"/>
      <c r="AD18" s="67">
        <f>AB18+$C$7</f>
        <v>0.5</v>
      </c>
      <c r="AE18" s="68"/>
    </row>
    <row r="19" spans="2:31" x14ac:dyDescent="0.3">
      <c r="B19" s="1" t="s">
        <v>20</v>
      </c>
      <c r="C19" s="13">
        <f>1/C18</f>
        <v>0.96095403338859053</v>
      </c>
      <c r="I19" s="14"/>
    </row>
    <row r="21" spans="2:31" x14ac:dyDescent="0.3">
      <c r="C21" s="13">
        <f>C17*SQRT(C7)</f>
        <v>3.9828703217654471E-2</v>
      </c>
    </row>
    <row r="25" spans="2:31" x14ac:dyDescent="0.3">
      <c r="B25" s="193" t="s">
        <v>342</v>
      </c>
    </row>
  </sheetData>
  <hyperlinks>
    <hyperlink ref="B25" location="Assumptions!A1" display="Jump to front" xr:uid="{149115B4-9135-4F91-A5AE-A371D56DFF81}"/>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E3A1B-638F-46F2-82A5-C3B9BE7DA8E1}">
  <sheetPr codeName="Sheet5"/>
  <dimension ref="B1:R24"/>
  <sheetViews>
    <sheetView workbookViewId="0">
      <selection activeCell="B24" sqref="B24"/>
    </sheetView>
  </sheetViews>
  <sheetFormatPr defaultColWidth="9.109375" defaultRowHeight="13.8" x14ac:dyDescent="0.3"/>
  <cols>
    <col min="1" max="1" width="0.88671875" style="1" customWidth="1"/>
    <col min="2" max="2" width="40.21875" style="1" bestFit="1" customWidth="1"/>
    <col min="3" max="3" width="8.6640625" style="1" customWidth="1"/>
    <col min="4" max="4" width="1.6640625" style="1" customWidth="1"/>
    <col min="5" max="5" width="7.6640625" style="1" customWidth="1"/>
    <col min="6" max="6" width="1.6640625" style="1" customWidth="1"/>
    <col min="7" max="7" width="7.6640625" style="1" customWidth="1"/>
    <col min="8" max="8" width="2.6640625" style="1" customWidth="1"/>
    <col min="9" max="11" width="7.6640625" style="1" customWidth="1"/>
    <col min="12" max="12" width="2.6640625" style="1" customWidth="1"/>
    <col min="13" max="13" width="7.6640625" style="1" customWidth="1"/>
    <col min="14" max="14" width="1.6640625" style="1" customWidth="1"/>
    <col min="15" max="15" width="7.6640625" style="1" customWidth="1"/>
    <col min="16" max="16" width="2.6640625" style="1" customWidth="1"/>
    <col min="17" max="17" width="7.6640625" style="1" customWidth="1"/>
    <col min="18" max="18" width="1.6640625" style="1" customWidth="1"/>
    <col min="19" max="16384" width="9.109375" style="1"/>
  </cols>
  <sheetData>
    <row r="1" spans="2:18" ht="4.95" customHeight="1" thickBot="1" x14ac:dyDescent="0.35"/>
    <row r="2" spans="2:18" x14ac:dyDescent="0.3">
      <c r="B2" s="3" t="s">
        <v>16</v>
      </c>
      <c r="C2" s="46">
        <f>Assumptions!B2</f>
        <v>90</v>
      </c>
      <c r="E2" s="3"/>
      <c r="F2" s="6"/>
      <c r="G2" s="6" t="s">
        <v>21</v>
      </c>
      <c r="H2" s="6"/>
      <c r="I2" s="6"/>
      <c r="J2" s="6" t="s">
        <v>5</v>
      </c>
      <c r="K2" s="7" t="s">
        <v>6</v>
      </c>
      <c r="L2" s="6"/>
      <c r="M2" s="6"/>
      <c r="N2" s="6"/>
      <c r="O2" s="6" t="s">
        <v>7</v>
      </c>
      <c r="P2" s="6"/>
      <c r="Q2" s="6"/>
      <c r="R2" s="8"/>
    </row>
    <row r="3" spans="2:18" x14ac:dyDescent="0.3">
      <c r="B3" s="4" t="s">
        <v>0</v>
      </c>
      <c r="C3" s="26">
        <f>Assumptions!B3</f>
        <v>90</v>
      </c>
      <c r="E3" s="4"/>
      <c r="K3" s="16"/>
      <c r="R3" s="5"/>
    </row>
    <row r="4" spans="2:18" x14ac:dyDescent="0.3">
      <c r="B4" s="4" t="s">
        <v>1</v>
      </c>
      <c r="C4" s="26">
        <f>C2*C18</f>
        <v>96.427844946705974</v>
      </c>
      <c r="E4" s="4"/>
      <c r="K4" s="16"/>
      <c r="R4" s="5"/>
    </row>
    <row r="5" spans="2:18" x14ac:dyDescent="0.3">
      <c r="B5" s="4" t="s">
        <v>2</v>
      </c>
      <c r="C5" s="26">
        <f>C2*C19</f>
        <v>84.000632851192847</v>
      </c>
      <c r="E5" s="4"/>
      <c r="G5" s="17"/>
      <c r="H5" s="17"/>
      <c r="I5" s="47">
        <f>C4</f>
        <v>96.427844946705974</v>
      </c>
      <c r="J5" s="69">
        <f>(I7-I9)/(I5-I9)</f>
        <v>0.48276050192892722</v>
      </c>
      <c r="K5" s="17"/>
      <c r="L5" s="17"/>
      <c r="M5" s="47">
        <f>MAX(0,I5-$C$3)</f>
        <v>6.4278449467059744</v>
      </c>
      <c r="O5" s="17"/>
      <c r="P5" s="17"/>
      <c r="Q5" s="47">
        <f>MAX(0,$C$3-I5)</f>
        <v>0</v>
      </c>
      <c r="R5" s="5"/>
    </row>
    <row r="6" spans="2:18" x14ac:dyDescent="0.3">
      <c r="B6" s="4" t="s">
        <v>3</v>
      </c>
      <c r="C6" s="24">
        <f>Assumptions!B5</f>
        <v>0</v>
      </c>
      <c r="E6" s="4"/>
      <c r="G6" s="17"/>
      <c r="H6" s="17"/>
      <c r="I6" s="17"/>
      <c r="K6" s="17"/>
      <c r="L6" s="17"/>
      <c r="M6" s="17"/>
      <c r="O6" s="17"/>
      <c r="P6" s="17"/>
      <c r="Q6" s="17"/>
      <c r="R6" s="5"/>
    </row>
    <row r="7" spans="2:18" x14ac:dyDescent="0.3">
      <c r="B7" s="4" t="s">
        <v>15</v>
      </c>
      <c r="C7" s="25">
        <f>C8</f>
        <v>0.5</v>
      </c>
      <c r="E7" s="4"/>
      <c r="G7" s="48">
        <f>C2</f>
        <v>90</v>
      </c>
      <c r="H7" s="17"/>
      <c r="I7" s="49">
        <f>G7*(1+C6)^C7</f>
        <v>90</v>
      </c>
      <c r="K7" s="48">
        <f>M7/(1+$C$6)^M13</f>
        <v>3.1031096527930946</v>
      </c>
      <c r="L7" s="17"/>
      <c r="M7" s="49">
        <f>M5*$J$5+M9*$J$9</f>
        <v>3.1031096527930946</v>
      </c>
      <c r="O7" s="48">
        <f>Q7/(1+$C$6)^Q13</f>
        <v>3.103109652793095</v>
      </c>
      <c r="P7" s="17"/>
      <c r="Q7" s="49">
        <f>Q5*$J$5+Q9*$J$9</f>
        <v>3.103109652793095</v>
      </c>
      <c r="R7" s="5"/>
    </row>
    <row r="8" spans="2:18" ht="14.4" thickBot="1" x14ac:dyDescent="0.35">
      <c r="B8" s="4" t="s">
        <v>4</v>
      </c>
      <c r="C8" s="25">
        <f>Assumptions!B4</f>
        <v>0.5</v>
      </c>
      <c r="E8" s="4"/>
      <c r="G8" s="17"/>
      <c r="H8" s="17"/>
      <c r="I8" s="17"/>
      <c r="K8" s="17"/>
      <c r="L8" s="17"/>
      <c r="M8" s="17"/>
      <c r="O8" s="17"/>
      <c r="P8" s="17"/>
      <c r="Q8" s="17"/>
      <c r="R8" s="5"/>
    </row>
    <row r="9" spans="2:18" x14ac:dyDescent="0.3">
      <c r="B9" s="10" t="s">
        <v>8</v>
      </c>
      <c r="C9" s="43">
        <f>K7</f>
        <v>3.1031096527930946</v>
      </c>
      <c r="E9" s="4"/>
      <c r="G9" s="17"/>
      <c r="H9" s="17"/>
      <c r="I9" s="47">
        <f>C5</f>
        <v>84.000632851192847</v>
      </c>
      <c r="J9" s="69">
        <f>1-J5</f>
        <v>0.51723949807107283</v>
      </c>
      <c r="K9" s="17"/>
      <c r="L9" s="17"/>
      <c r="M9" s="47">
        <f>MAX(0,I9-$C$3)</f>
        <v>0</v>
      </c>
      <c r="O9" s="17"/>
      <c r="P9" s="17"/>
      <c r="Q9" s="47">
        <f>MAX(0,$C$3-I9)</f>
        <v>5.9993671488071527</v>
      </c>
      <c r="R9" s="5"/>
    </row>
    <row r="10" spans="2:18" x14ac:dyDescent="0.3">
      <c r="B10" s="11" t="s">
        <v>11</v>
      </c>
      <c r="C10" s="44">
        <f>MAX(C2-C3,0)</f>
        <v>0</v>
      </c>
      <c r="E10" s="4"/>
      <c r="G10" s="17"/>
      <c r="H10" s="17"/>
      <c r="I10" s="17"/>
      <c r="J10" s="15"/>
      <c r="M10" s="2"/>
      <c r="Q10" s="2"/>
      <c r="R10" s="5"/>
    </row>
    <row r="11" spans="2:18" ht="14.4" thickBot="1" x14ac:dyDescent="0.35">
      <c r="B11" s="12" t="s">
        <v>12</v>
      </c>
      <c r="C11" s="45">
        <f>C9-C10</f>
        <v>3.1031096527930946</v>
      </c>
      <c r="E11" s="4"/>
      <c r="I11" s="2"/>
      <c r="J11" s="15"/>
      <c r="M11" s="2"/>
      <c r="Q11" s="2"/>
      <c r="R11" s="5"/>
    </row>
    <row r="12" spans="2:18" x14ac:dyDescent="0.3">
      <c r="B12" s="11" t="s">
        <v>9</v>
      </c>
      <c r="C12" s="44">
        <f>O7</f>
        <v>3.103109652793095</v>
      </c>
      <c r="E12" s="4"/>
      <c r="R12" s="5"/>
    </row>
    <row r="13" spans="2:18" ht="14.4" thickBot="1" x14ac:dyDescent="0.35">
      <c r="B13" s="11" t="s">
        <v>13</v>
      </c>
      <c r="C13" s="44">
        <f>MAX(C3-C2,0)</f>
        <v>0</v>
      </c>
      <c r="E13" s="22" t="s">
        <v>10</v>
      </c>
      <c r="F13" s="18"/>
      <c r="G13" s="19">
        <v>0</v>
      </c>
      <c r="H13" s="20"/>
      <c r="I13" s="19">
        <f>G13+$C$7</f>
        <v>0.5</v>
      </c>
      <c r="J13" s="21"/>
      <c r="K13" s="21">
        <f>G13</f>
        <v>0</v>
      </c>
      <c r="L13" s="21"/>
      <c r="M13" s="21">
        <f>K13+$C$7</f>
        <v>0.5</v>
      </c>
      <c r="N13" s="21"/>
      <c r="O13" s="21">
        <f>G13</f>
        <v>0</v>
      </c>
      <c r="P13" s="21"/>
      <c r="Q13" s="21">
        <f>O13+$C$7</f>
        <v>0.5</v>
      </c>
      <c r="R13" s="9"/>
    </row>
    <row r="14" spans="2:18" ht="14.4" thickBot="1" x14ac:dyDescent="0.35">
      <c r="B14" s="12" t="s">
        <v>14</v>
      </c>
      <c r="C14" s="45">
        <f>C12-C13</f>
        <v>3.103109652793095</v>
      </c>
      <c r="K14" s="17"/>
    </row>
    <row r="15" spans="2:18" x14ac:dyDescent="0.3">
      <c r="I15" s="13"/>
      <c r="J15" s="17"/>
      <c r="K15" s="17"/>
      <c r="M15" s="13"/>
    </row>
    <row r="16" spans="2:18" x14ac:dyDescent="0.3">
      <c r="B16" s="1" t="s">
        <v>17</v>
      </c>
      <c r="C16" s="23">
        <f>C17/SQRT(12)</f>
        <v>2.8163146131069943E-2</v>
      </c>
      <c r="K16" s="17"/>
      <c r="M16" s="17"/>
    </row>
    <row r="17" spans="2:13" x14ac:dyDescent="0.3">
      <c r="B17" s="1" t="s">
        <v>18</v>
      </c>
      <c r="C17" s="23">
        <f>Assumptions!B1</f>
        <v>9.7559999999999994E-2</v>
      </c>
      <c r="J17" s="17"/>
      <c r="K17" s="17"/>
      <c r="M17" s="14"/>
    </row>
    <row r="18" spans="2:13" x14ac:dyDescent="0.3">
      <c r="B18" s="1" t="s">
        <v>19</v>
      </c>
      <c r="C18" s="13">
        <f>EXP(C17*SQRT(C7))</f>
        <v>1.0714204994078442</v>
      </c>
      <c r="K18" s="13"/>
    </row>
    <row r="19" spans="2:13" x14ac:dyDescent="0.3">
      <c r="B19" s="1" t="s">
        <v>20</v>
      </c>
      <c r="C19" s="13">
        <f>1/C18</f>
        <v>0.93334036501325379</v>
      </c>
      <c r="I19" s="14"/>
    </row>
    <row r="24" spans="2:13" x14ac:dyDescent="0.3">
      <c r="B24" s="193" t="s">
        <v>342</v>
      </c>
    </row>
  </sheetData>
  <hyperlinks>
    <hyperlink ref="B24" location="Assumptions!A1" display="Jump to front" xr:uid="{02EA0BD3-BE21-433E-9A4D-E8D2736F9E4C}"/>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F6213-1E67-473E-A4DF-572A070BEBA1}">
  <sheetPr codeName="Sheet6"/>
  <dimension ref="B1:Y25"/>
  <sheetViews>
    <sheetView workbookViewId="0">
      <selection activeCell="B25" sqref="B25"/>
    </sheetView>
  </sheetViews>
  <sheetFormatPr defaultColWidth="9.109375" defaultRowHeight="13.8" x14ac:dyDescent="0.3"/>
  <cols>
    <col min="1" max="1" width="0.88671875" style="1" customWidth="1"/>
    <col min="2" max="2" width="40.21875" style="1" bestFit="1" customWidth="1"/>
    <col min="3" max="3" width="8.6640625" style="1" customWidth="1"/>
    <col min="4" max="4" width="1.6640625" style="1" customWidth="1"/>
    <col min="5" max="5" width="7.6640625" style="1" customWidth="1"/>
    <col min="6" max="6" width="1.6640625" style="1" customWidth="1"/>
    <col min="7" max="7" width="7.6640625" style="1" customWidth="1"/>
    <col min="8" max="8" width="2.6640625" style="1" customWidth="1"/>
    <col min="9" max="10" width="7.6640625" style="1" customWidth="1"/>
    <col min="11" max="11" width="2.6640625" style="1" customWidth="1"/>
    <col min="12" max="12" width="8.77734375" style="1" bestFit="1" customWidth="1"/>
    <col min="13" max="13" width="1.6640625" style="1" customWidth="1"/>
    <col min="14" max="14" width="7.6640625" style="1" customWidth="1"/>
    <col min="15" max="15" width="2.6640625" style="1" customWidth="1"/>
    <col min="16" max="16" width="7.6640625" style="1" customWidth="1"/>
    <col min="17" max="17" width="2.6640625" style="1" customWidth="1"/>
    <col min="18" max="18" width="7.6640625" style="1" customWidth="1"/>
    <col min="19" max="19" width="1.6640625" style="1" customWidth="1"/>
    <col min="20" max="20" width="7.6640625" style="1" customWidth="1"/>
    <col min="21" max="21" width="2.6640625" style="1" customWidth="1"/>
    <col min="22" max="22" width="7.6640625" style="1" customWidth="1"/>
    <col min="23" max="23" width="1.6640625" style="1" customWidth="1"/>
    <col min="24" max="24" width="7.6640625" style="1" customWidth="1"/>
    <col min="25" max="25" width="1.6640625" style="1" customWidth="1"/>
    <col min="26" max="16384" width="9.109375" style="1"/>
  </cols>
  <sheetData>
    <row r="1" spans="2:25" ht="4.95" customHeight="1" thickBot="1" x14ac:dyDescent="0.35"/>
    <row r="2" spans="2:25" x14ac:dyDescent="0.3">
      <c r="B2" s="3" t="s">
        <v>16</v>
      </c>
      <c r="C2" s="46">
        <f>Assumptions!B2</f>
        <v>90</v>
      </c>
      <c r="E2" s="3"/>
      <c r="F2" s="6"/>
      <c r="G2" s="6" t="s">
        <v>21</v>
      </c>
      <c r="H2" s="6"/>
      <c r="I2" s="6"/>
      <c r="J2" s="6" t="s">
        <v>5</v>
      </c>
      <c r="K2" s="6"/>
      <c r="L2" s="6"/>
      <c r="M2" s="6"/>
      <c r="N2" s="7" t="s">
        <v>6</v>
      </c>
      <c r="O2" s="6"/>
      <c r="P2" s="6"/>
      <c r="Q2" s="6"/>
      <c r="R2" s="6"/>
      <c r="S2" s="6"/>
      <c r="T2" s="6" t="s">
        <v>7</v>
      </c>
      <c r="U2" s="6"/>
      <c r="V2" s="6"/>
      <c r="W2" s="6"/>
      <c r="X2" s="6"/>
      <c r="Y2" s="8"/>
    </row>
    <row r="3" spans="2:25" x14ac:dyDescent="0.3">
      <c r="B3" s="4" t="s">
        <v>0</v>
      </c>
      <c r="C3" s="26">
        <f>Assumptions!B3</f>
        <v>90</v>
      </c>
      <c r="E3" s="4"/>
      <c r="L3" s="47">
        <f>I5/G7*I5</f>
        <v>99.222982941078016</v>
      </c>
      <c r="N3" s="16"/>
      <c r="R3" s="47">
        <f>MAX(L3-$C$3,0)</f>
        <v>9.2229829410780155</v>
      </c>
      <c r="X3" s="47">
        <f>MAX($C$3-L3,0)</f>
        <v>0</v>
      </c>
      <c r="Y3" s="5"/>
    </row>
    <row r="4" spans="2:25" x14ac:dyDescent="0.3">
      <c r="B4" s="4" t="s">
        <v>1</v>
      </c>
      <c r="C4" s="26">
        <f>C2*C18</f>
        <v>94.499039490870075</v>
      </c>
      <c r="E4" s="4"/>
      <c r="L4" s="17"/>
      <c r="N4" s="16"/>
      <c r="R4" s="17"/>
      <c r="X4" s="17"/>
      <c r="Y4" s="5"/>
    </row>
    <row r="5" spans="2:25" x14ac:dyDescent="0.3">
      <c r="B5" s="4" t="s">
        <v>2</v>
      </c>
      <c r="C5" s="26">
        <f>C2*C19</f>
        <v>85.715156933236059</v>
      </c>
      <c r="E5" s="4"/>
      <c r="I5" s="47">
        <f>C4</f>
        <v>94.499039490870075</v>
      </c>
      <c r="J5" s="69">
        <f>(I7-I9)/(I5-I9)</f>
        <v>0.48780741757982765</v>
      </c>
      <c r="K5" s="2"/>
      <c r="L5" s="17"/>
      <c r="P5" s="47">
        <f>MAX(R5/(1+$C$6)^(R$13-P$13),I5-$C$3)</f>
        <v>4.499039490870075</v>
      </c>
      <c r="Q5" s="2"/>
      <c r="R5" s="49">
        <f>R3*$J$5+R7*$J$9</f>
        <v>4.4990394908700706</v>
      </c>
      <c r="V5" s="47">
        <f>MAX(X5/(1+$C$6)^(X$13-V$13),$C$3-I5)</f>
        <v>0</v>
      </c>
      <c r="W5" s="2"/>
      <c r="X5" s="49">
        <f>X3*$J$5+X7*$J$9</f>
        <v>0</v>
      </c>
      <c r="Y5" s="5"/>
    </row>
    <row r="6" spans="2:25" x14ac:dyDescent="0.3">
      <c r="B6" s="4" t="s">
        <v>3</v>
      </c>
      <c r="C6" s="24">
        <f>Q1Eu2St!C6</f>
        <v>0</v>
      </c>
      <c r="E6" s="4"/>
      <c r="I6" s="17"/>
      <c r="L6" s="17"/>
      <c r="P6" s="17"/>
      <c r="R6" s="17"/>
      <c r="V6" s="17"/>
      <c r="X6" s="17"/>
      <c r="Y6" s="5"/>
    </row>
    <row r="7" spans="2:25" x14ac:dyDescent="0.3">
      <c r="B7" s="4" t="s">
        <v>15</v>
      </c>
      <c r="C7" s="25">
        <f>C8/2</f>
        <v>0.25</v>
      </c>
      <c r="E7" s="4"/>
      <c r="G7" s="48">
        <f>C2</f>
        <v>90</v>
      </c>
      <c r="I7" s="49">
        <f>G7*(1+C6)^C7</f>
        <v>90</v>
      </c>
      <c r="K7" s="2"/>
      <c r="L7" s="47">
        <f>I5/G7*I9</f>
        <v>90</v>
      </c>
      <c r="N7" s="48">
        <f>MAX(P7/(1+$C$6)^P13,G7-$C$3)</f>
        <v>2.1946648356309937</v>
      </c>
      <c r="O7" s="2"/>
      <c r="P7" s="49">
        <f>P5*$J$5+P9*$J$9</f>
        <v>2.1946648356309937</v>
      </c>
      <c r="Q7" s="2"/>
      <c r="R7" s="47">
        <f>MAX(L7-$C$3,0)</f>
        <v>0</v>
      </c>
      <c r="T7" s="48">
        <f>MAX(V7/(1+$C$6)^V13,C3-$G$7)</f>
        <v>2.1946648356309932</v>
      </c>
      <c r="U7" s="2"/>
      <c r="V7" s="49">
        <f>V5*$J$5+V9*$J$9</f>
        <v>2.1946648356309932</v>
      </c>
      <c r="W7" s="2"/>
      <c r="X7" s="47">
        <f>MAX($C$3-L7,0)</f>
        <v>0</v>
      </c>
      <c r="Y7" s="5"/>
    </row>
    <row r="8" spans="2:25" ht="14.4" thickBot="1" x14ac:dyDescent="0.35">
      <c r="B8" s="4" t="s">
        <v>4</v>
      </c>
      <c r="C8" s="25">
        <f>Assumptions!B4</f>
        <v>0.5</v>
      </c>
      <c r="E8" s="4"/>
      <c r="I8" s="17"/>
      <c r="L8" s="17"/>
      <c r="P8" s="17"/>
      <c r="R8" s="17"/>
      <c r="V8" s="17"/>
      <c r="X8" s="17"/>
      <c r="Y8" s="5"/>
    </row>
    <row r="9" spans="2:25" x14ac:dyDescent="0.3">
      <c r="B9" s="10" t="s">
        <v>8</v>
      </c>
      <c r="C9" s="43">
        <f>N7</f>
        <v>2.1946648356309937</v>
      </c>
      <c r="E9" s="4"/>
      <c r="I9" s="47">
        <f>C5</f>
        <v>85.715156933236059</v>
      </c>
      <c r="J9" s="69">
        <f>1-J5</f>
        <v>0.51219258242017229</v>
      </c>
      <c r="K9" s="2"/>
      <c r="L9" s="17"/>
      <c r="P9" s="47">
        <f>MAX(R9/(1+$C$6)^(R$13-P$13),I9-$C$3)</f>
        <v>0</v>
      </c>
      <c r="Q9" s="2"/>
      <c r="R9" s="49">
        <f>R7*$J$5+R11*$J$9</f>
        <v>0</v>
      </c>
      <c r="V9" s="47">
        <f>MAX(X9/(1+$C$6)^(X$13-V$13),$C$3-I9)</f>
        <v>4.2848430667639406</v>
      </c>
      <c r="W9" s="2"/>
      <c r="X9" s="49">
        <f>X7*$J$5+X11*$J$9</f>
        <v>4.2848430667639379</v>
      </c>
      <c r="Y9" s="5"/>
    </row>
    <row r="10" spans="2:25" x14ac:dyDescent="0.3">
      <c r="B10" s="11" t="s">
        <v>11</v>
      </c>
      <c r="C10" s="44">
        <f>MAX(C2-C3,0)</f>
        <v>0</v>
      </c>
      <c r="E10" s="4"/>
      <c r="I10" s="2"/>
      <c r="J10" s="15"/>
      <c r="K10" s="2"/>
      <c r="L10" s="17"/>
      <c r="P10" s="2"/>
      <c r="Q10" s="2"/>
      <c r="R10" s="17"/>
      <c r="V10" s="2"/>
      <c r="W10" s="2"/>
      <c r="X10" s="17"/>
      <c r="Y10" s="5"/>
    </row>
    <row r="11" spans="2:25" ht="14.4" thickBot="1" x14ac:dyDescent="0.35">
      <c r="B11" s="12" t="s">
        <v>12</v>
      </c>
      <c r="C11" s="45">
        <f>C9-C10</f>
        <v>2.1946648356309937</v>
      </c>
      <c r="E11" s="4"/>
      <c r="I11" s="2"/>
      <c r="J11" s="15"/>
      <c r="K11" s="2"/>
      <c r="L11" s="47">
        <f>I9/G7*I9</f>
        <v>81.634312534325403</v>
      </c>
      <c r="P11" s="2"/>
      <c r="Q11" s="2"/>
      <c r="R11" s="47">
        <f>MAX(L11-$C$3,0)</f>
        <v>0</v>
      </c>
      <c r="V11" s="2"/>
      <c r="W11" s="2"/>
      <c r="X11" s="47">
        <f>MAX($C$3-L11,0)</f>
        <v>8.365687465674597</v>
      </c>
      <c r="Y11" s="5"/>
    </row>
    <row r="12" spans="2:25" x14ac:dyDescent="0.3">
      <c r="B12" s="11" t="s">
        <v>9</v>
      </c>
      <c r="C12" s="44">
        <f>T7</f>
        <v>2.1946648356309932</v>
      </c>
      <c r="E12" s="4"/>
      <c r="Y12" s="5"/>
    </row>
    <row r="13" spans="2:25" ht="14.4" thickBot="1" x14ac:dyDescent="0.35">
      <c r="B13" s="11" t="s">
        <v>13</v>
      </c>
      <c r="C13" s="44">
        <f>MAX(C3-C2,0)</f>
        <v>0</v>
      </c>
      <c r="E13" s="22" t="s">
        <v>10</v>
      </c>
      <c r="F13" s="18"/>
      <c r="G13" s="19">
        <v>0</v>
      </c>
      <c r="H13" s="20"/>
      <c r="I13" s="19">
        <f>G13+$C$7</f>
        <v>0.25</v>
      </c>
      <c r="J13" s="21"/>
      <c r="K13" s="19"/>
      <c r="L13" s="19">
        <f>I13+$C$7</f>
        <v>0.5</v>
      </c>
      <c r="M13" s="21"/>
      <c r="N13" s="21">
        <f>G13</f>
        <v>0</v>
      </c>
      <c r="O13" s="21"/>
      <c r="P13" s="21">
        <f>N13+$C$7</f>
        <v>0.25</v>
      </c>
      <c r="Q13" s="21"/>
      <c r="R13" s="21">
        <f>P13+$C$7</f>
        <v>0.5</v>
      </c>
      <c r="S13" s="21"/>
      <c r="T13" s="21">
        <f>G13</f>
        <v>0</v>
      </c>
      <c r="U13" s="21"/>
      <c r="V13" s="21">
        <f>T13+$C$7</f>
        <v>0.25</v>
      </c>
      <c r="W13" s="21"/>
      <c r="X13" s="21">
        <f>V13+$C$7</f>
        <v>0.5</v>
      </c>
      <c r="Y13" s="9"/>
    </row>
    <row r="14" spans="2:25" ht="14.4" thickBot="1" x14ac:dyDescent="0.35">
      <c r="B14" s="12" t="s">
        <v>14</v>
      </c>
      <c r="C14" s="45">
        <f>C12-C13</f>
        <v>2.1946648356309932</v>
      </c>
      <c r="N14" s="17"/>
    </row>
    <row r="15" spans="2:25" x14ac:dyDescent="0.3">
      <c r="I15" s="13"/>
      <c r="J15" s="17"/>
      <c r="K15" s="13"/>
      <c r="L15" s="13"/>
      <c r="N15" s="17"/>
      <c r="P15" s="13"/>
      <c r="R15" s="17"/>
      <c r="X15" s="2"/>
    </row>
    <row r="16" spans="2:25" x14ac:dyDescent="0.3">
      <c r="B16" s="1" t="s">
        <v>17</v>
      </c>
      <c r="C16" s="23">
        <f>C17/SQRT(12)</f>
        <v>2.8163146131069943E-2</v>
      </c>
      <c r="N16" s="17"/>
      <c r="P16" s="17"/>
      <c r="R16" s="17"/>
    </row>
    <row r="17" spans="2:18" x14ac:dyDescent="0.3">
      <c r="B17" s="1" t="s">
        <v>18</v>
      </c>
      <c r="C17" s="23">
        <f>Assumptions!B1</f>
        <v>9.7559999999999994E-2</v>
      </c>
      <c r="J17" s="17"/>
      <c r="L17" s="14"/>
      <c r="N17" s="17"/>
      <c r="P17" s="14"/>
      <c r="R17" s="17"/>
    </row>
    <row r="18" spans="2:18" x14ac:dyDescent="0.3">
      <c r="B18" s="1" t="s">
        <v>19</v>
      </c>
      <c r="C18" s="13">
        <f>EXP(C17*SQRT(C7))</f>
        <v>1.0499893276763341</v>
      </c>
      <c r="N18" s="13"/>
    </row>
    <row r="19" spans="2:18" x14ac:dyDescent="0.3">
      <c r="B19" s="1" t="s">
        <v>20</v>
      </c>
      <c r="C19" s="13">
        <f>1/C18</f>
        <v>0.9523906325915118</v>
      </c>
      <c r="I19" s="14"/>
    </row>
    <row r="25" spans="2:18" x14ac:dyDescent="0.3">
      <c r="B25" s="193" t="s">
        <v>342</v>
      </c>
    </row>
  </sheetData>
  <hyperlinks>
    <hyperlink ref="B25" location="Assumptions!A1" display="Jump to front" xr:uid="{66E34CED-F912-44E4-A00B-D935095495BB}"/>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1EAE3-4F97-48C9-B5BA-6C76A31D616C}">
  <sheetPr codeName="Sheet7"/>
  <dimension ref="B1:AE26"/>
  <sheetViews>
    <sheetView workbookViewId="0">
      <selection activeCell="B26" sqref="B26"/>
    </sheetView>
  </sheetViews>
  <sheetFormatPr defaultColWidth="9.109375" defaultRowHeight="13.8" x14ac:dyDescent="0.3"/>
  <cols>
    <col min="1" max="1" width="0.88671875" style="1" customWidth="1"/>
    <col min="2" max="2" width="40.21875" style="1" bestFit="1" customWidth="1"/>
    <col min="3" max="3" width="8.6640625" style="1" customWidth="1"/>
    <col min="4" max="4" width="1.6640625" style="1" customWidth="1"/>
    <col min="5" max="5" width="7.6640625" style="1" customWidth="1"/>
    <col min="6" max="6" width="1.6640625" style="1" customWidth="1"/>
    <col min="7" max="7" width="7.6640625" style="1" customWidth="1"/>
    <col min="8" max="8" width="2.6640625" style="1" customWidth="1"/>
    <col min="9" max="10" width="7.6640625" style="1" customWidth="1"/>
    <col min="11" max="11" width="2.6640625" style="1" customWidth="1"/>
    <col min="12" max="12" width="8.77734375" style="1" bestFit="1" customWidth="1"/>
    <col min="13" max="13" width="1.6640625" style="1" customWidth="1"/>
    <col min="14" max="14" width="7.6640625" style="1" customWidth="1"/>
    <col min="15" max="15" width="1.6640625" style="1" customWidth="1"/>
    <col min="16" max="16" width="7.6640625" style="1" customWidth="1"/>
    <col min="17" max="17" width="2.6640625" style="1" customWidth="1"/>
    <col min="18" max="18" width="7.6640625" style="1" customWidth="1"/>
    <col min="19" max="19" width="2.6640625" style="1" customWidth="1"/>
    <col min="20" max="20" width="7.6640625" style="1" customWidth="1"/>
    <col min="21" max="21" width="2.6640625" style="1" customWidth="1"/>
    <col min="22" max="22" width="7.6640625" style="1" customWidth="1"/>
    <col min="23" max="23" width="1.6640625" style="1" customWidth="1"/>
    <col min="24" max="24" width="7.6640625" style="1" customWidth="1"/>
    <col min="25" max="25" width="2.6640625" style="1" customWidth="1"/>
    <col min="26" max="26" width="7.6640625" style="1" customWidth="1"/>
    <col min="27" max="27" width="1.6640625" style="1" customWidth="1"/>
    <col min="28" max="28" width="7.6640625" style="1" customWidth="1"/>
    <col min="29" max="29" width="2.6640625" style="1" customWidth="1"/>
    <col min="30" max="30" width="7.6640625" style="1" customWidth="1"/>
    <col min="31" max="31" width="1.6640625" style="1" customWidth="1"/>
    <col min="32" max="16384" width="9.109375" style="1"/>
  </cols>
  <sheetData>
    <row r="1" spans="2:31" ht="4.95" customHeight="1" thickBot="1" x14ac:dyDescent="0.35"/>
    <row r="2" spans="2:31" x14ac:dyDescent="0.3">
      <c r="B2" s="3" t="s">
        <v>16</v>
      </c>
      <c r="C2" s="51">
        <f>Assumptions!B2</f>
        <v>90</v>
      </c>
      <c r="E2" s="10"/>
      <c r="F2" s="59"/>
      <c r="G2" s="59" t="s">
        <v>21</v>
      </c>
      <c r="H2" s="59"/>
      <c r="I2" s="59"/>
      <c r="J2" s="59" t="s">
        <v>5</v>
      </c>
      <c r="K2" s="59"/>
      <c r="L2" s="59"/>
      <c r="M2" s="59"/>
      <c r="N2" s="59"/>
      <c r="O2" s="59"/>
      <c r="P2" s="60" t="s">
        <v>6</v>
      </c>
      <c r="Q2" s="59"/>
      <c r="R2" s="59"/>
      <c r="S2" s="59"/>
      <c r="T2" s="59"/>
      <c r="U2" s="59"/>
      <c r="V2" s="59"/>
      <c r="W2" s="59"/>
      <c r="X2" s="59" t="s">
        <v>7</v>
      </c>
      <c r="Y2" s="59"/>
      <c r="Z2" s="59"/>
      <c r="AA2" s="59"/>
      <c r="AB2" s="59"/>
      <c r="AC2" s="59"/>
      <c r="AD2" s="59"/>
      <c r="AE2" s="61"/>
    </row>
    <row r="3" spans="2:31" x14ac:dyDescent="0.3">
      <c r="B3" s="4" t="s">
        <v>0</v>
      </c>
      <c r="C3" s="36">
        <f>Assumptions!B3</f>
        <v>90</v>
      </c>
      <c r="E3" s="11"/>
      <c r="P3" s="16"/>
      <c r="AE3" s="62"/>
    </row>
    <row r="4" spans="2:31" x14ac:dyDescent="0.3">
      <c r="B4" s="4" t="s">
        <v>1</v>
      </c>
      <c r="C4" s="36">
        <f>C2*C18</f>
        <v>93.65692517324166</v>
      </c>
      <c r="E4" s="11"/>
      <c r="N4" s="41">
        <f>L6*C18</f>
        <v>101.42258316138673</v>
      </c>
      <c r="P4" s="16"/>
      <c r="V4" s="41">
        <f>MAX(N4-$C$3,0)</f>
        <v>11.422583161386726</v>
      </c>
      <c r="AD4" s="41">
        <f>MAX($C$3-N4,0)</f>
        <v>0</v>
      </c>
      <c r="AE4" s="62"/>
    </row>
    <row r="5" spans="2:31" x14ac:dyDescent="0.3">
      <c r="B5" s="4" t="s">
        <v>2</v>
      </c>
      <c r="C5" s="36">
        <f>C2*C19</f>
        <v>86.485863004973154</v>
      </c>
      <c r="E5" s="11"/>
      <c r="AE5" s="62"/>
    </row>
    <row r="6" spans="2:31" x14ac:dyDescent="0.3">
      <c r="B6" s="4" t="s">
        <v>3</v>
      </c>
      <c r="C6" s="24">
        <f>Assumptions!B5</f>
        <v>0</v>
      </c>
      <c r="E6" s="11"/>
      <c r="L6" s="41">
        <f>I8/G10*I8</f>
        <v>97.462440365624317</v>
      </c>
      <c r="P6" s="16"/>
      <c r="T6" s="41">
        <f>MAX(V6/(1+$C$6)^(V$18-T$18),L6-$C$3)</f>
        <v>7.4624403656243175</v>
      </c>
      <c r="U6" s="58"/>
      <c r="V6" s="42">
        <f>V4*$J$8+V8*$J$12</f>
        <v>7.4624403656243175</v>
      </c>
      <c r="AB6" s="41">
        <f>MAX(AD6/(1+$C$6)^(AD$18-AB$18),$C$3-L6)</f>
        <v>0</v>
      </c>
      <c r="AC6" s="58"/>
      <c r="AD6" s="42">
        <f>AD4*$J$8+AD8*$J$12</f>
        <v>0</v>
      </c>
      <c r="AE6" s="62"/>
    </row>
    <row r="7" spans="2:31" x14ac:dyDescent="0.3">
      <c r="B7" s="4" t="s">
        <v>15</v>
      </c>
      <c r="C7" s="25">
        <f>C8/3</f>
        <v>0.16666666666666666</v>
      </c>
      <c r="E7" s="11"/>
      <c r="P7" s="16"/>
      <c r="AE7" s="62"/>
    </row>
    <row r="8" spans="2:31" ht="14.4" thickBot="1" x14ac:dyDescent="0.35">
      <c r="B8" s="4" t="s">
        <v>4</v>
      </c>
      <c r="C8" s="25">
        <f>Assumptions!B4</f>
        <v>0.5</v>
      </c>
      <c r="E8" s="11"/>
      <c r="I8" s="41">
        <f>C4</f>
        <v>93.65692517324166</v>
      </c>
      <c r="J8" s="69">
        <f>(I10-I12)/(I8-I12)</f>
        <v>0.49004414026372245</v>
      </c>
      <c r="K8" s="2"/>
      <c r="N8" s="41">
        <f>L6*C19</f>
        <v>93.65692517324166</v>
      </c>
      <c r="R8" s="41">
        <f>MAX(T8/(1+$C$6)^(T$18-R$18),I8-$C$3)</f>
        <v>4.570793995262572</v>
      </c>
      <c r="S8" s="2"/>
      <c r="T8" s="42">
        <f>T6*$J$8+T10*$J$12</f>
        <v>4.570793995262572</v>
      </c>
      <c r="U8" s="58"/>
      <c r="V8" s="41">
        <f>MAX(N8-$C$3,0)</f>
        <v>3.6569251732416603</v>
      </c>
      <c r="Z8" s="41">
        <f>MAX(AB8/(1+$C$6)^(AB$18-Z$18),$C$3-I8)</f>
        <v>0.91386882202090125</v>
      </c>
      <c r="AA8" s="2"/>
      <c r="AB8" s="42">
        <f>AB6*$J$8+AB10*$J$12</f>
        <v>0.91386882202090125</v>
      </c>
      <c r="AC8" s="58"/>
      <c r="AD8" s="41">
        <f>MAX($C$3-N8,0)</f>
        <v>0</v>
      </c>
      <c r="AE8" s="62"/>
    </row>
    <row r="9" spans="2:31" x14ac:dyDescent="0.3">
      <c r="B9" s="10" t="s">
        <v>8</v>
      </c>
      <c r="C9" s="37">
        <f>P10</f>
        <v>2.6877268749320873</v>
      </c>
      <c r="E9" s="11"/>
      <c r="AE9" s="62"/>
    </row>
    <row r="10" spans="2:31" x14ac:dyDescent="0.3">
      <c r="B10" s="11" t="s">
        <v>11</v>
      </c>
      <c r="C10" s="38">
        <f>MAX(C2-C3,0)</f>
        <v>0</v>
      </c>
      <c r="E10" s="11"/>
      <c r="G10" s="40">
        <f>C2</f>
        <v>90</v>
      </c>
      <c r="I10" s="49">
        <f>G10*(1+C6)^C7</f>
        <v>90</v>
      </c>
      <c r="K10" s="2"/>
      <c r="L10" s="41">
        <f>I8/G10*I12</f>
        <v>90</v>
      </c>
      <c r="P10" s="40">
        <f>MAX(R10/(1+$C$6)^(R$18-P$18),G10-$C$3)</f>
        <v>2.6877268749320873</v>
      </c>
      <c r="Q10" s="2"/>
      <c r="R10" s="42">
        <f>R8*$J$8+R12*$J$12</f>
        <v>2.6877268749320873</v>
      </c>
      <c r="S10" s="2"/>
      <c r="T10" s="41">
        <f>MAX(V10/(1+$C$6)^(V$18-T$18),L10-$C$3)</f>
        <v>1.7920547525299737</v>
      </c>
      <c r="U10" s="58"/>
      <c r="V10" s="42">
        <f>V8*$J$8+V12*$J$12</f>
        <v>1.7920547525299737</v>
      </c>
      <c r="X10" s="40">
        <f>MAX(Z10/(1+$C$6)^(Z$18-X$18),$C$3-G10)</f>
        <v>2.687726874932078</v>
      </c>
      <c r="Y10" s="2"/>
      <c r="Z10" s="42">
        <f>Z8*$J$8+Z12*$J$12</f>
        <v>2.687726874932078</v>
      </c>
      <c r="AA10" s="2"/>
      <c r="AB10" s="41">
        <f>MAX(AD10/(1+$C$6)^(AD$18-AB$18),$C$3-L10)</f>
        <v>1.7920547525299666</v>
      </c>
      <c r="AC10" s="58"/>
      <c r="AD10" s="42">
        <f>AD8*$J$8+AD12*$J$12</f>
        <v>1.7920547525299666</v>
      </c>
      <c r="AE10" s="62"/>
    </row>
    <row r="11" spans="2:31" ht="14.4" thickBot="1" x14ac:dyDescent="0.35">
      <c r="B11" s="12" t="s">
        <v>12</v>
      </c>
      <c r="C11" s="39">
        <f>C9-C10</f>
        <v>2.6877268749320873</v>
      </c>
      <c r="E11" s="11"/>
      <c r="AE11" s="62"/>
    </row>
    <row r="12" spans="2:31" x14ac:dyDescent="0.3">
      <c r="B12" s="11" t="s">
        <v>9</v>
      </c>
      <c r="C12" s="38">
        <f>X10</f>
        <v>2.687726874932078</v>
      </c>
      <c r="E12" s="11"/>
      <c r="I12" s="41">
        <f>C5</f>
        <v>86.485863004973154</v>
      </c>
      <c r="J12" s="69">
        <f>1-J8</f>
        <v>0.50995585973627755</v>
      </c>
      <c r="K12" s="2"/>
      <c r="L12" s="2"/>
      <c r="N12" s="41">
        <f>L14*C18</f>
        <v>86.485863004973169</v>
      </c>
      <c r="R12" s="41">
        <f>MAX(T12/(1+$C$6)^(T$18-R$18),I12-$C$3)</f>
        <v>0.8781859305090689</v>
      </c>
      <c r="S12" s="2"/>
      <c r="T12" s="42">
        <f>T10*$J$8+T14*$J$12</f>
        <v>0.8781859305090689</v>
      </c>
      <c r="U12" s="58"/>
      <c r="V12" s="41">
        <f>MAX(N12-$C$3,0)</f>
        <v>0</v>
      </c>
      <c r="Z12" s="41">
        <f>MAX(AB12/(1+$C$6)^(AB$18-Z$18),$C$3-I12)</f>
        <v>4.3923229255359058</v>
      </c>
      <c r="AA12" s="2"/>
      <c r="AB12" s="42">
        <f>AB10*$J$8+AB14*$J$12</f>
        <v>4.3923229255359058</v>
      </c>
      <c r="AC12" s="58"/>
      <c r="AD12" s="41">
        <f>MAX($C$3-N12,0)</f>
        <v>3.5141369950268313</v>
      </c>
      <c r="AE12" s="62"/>
    </row>
    <row r="13" spans="2:31" x14ac:dyDescent="0.3">
      <c r="B13" s="11" t="s">
        <v>13</v>
      </c>
      <c r="C13" s="38">
        <f>MAX(C3-C2,0)</f>
        <v>0</v>
      </c>
      <c r="E13" s="11"/>
      <c r="I13" s="2"/>
      <c r="J13" s="15"/>
      <c r="K13" s="2"/>
      <c r="L13" s="2"/>
      <c r="R13" s="2"/>
      <c r="S13" s="2"/>
      <c r="T13" s="2"/>
      <c r="U13" s="2"/>
      <c r="V13" s="2"/>
      <c r="Z13" s="2"/>
      <c r="AA13" s="2"/>
      <c r="AB13" s="2"/>
      <c r="AC13" s="2"/>
      <c r="AD13" s="2"/>
      <c r="AE13" s="62"/>
    </row>
    <row r="14" spans="2:31" ht="14.4" thickBot="1" x14ac:dyDescent="0.35">
      <c r="B14" s="12" t="s">
        <v>14</v>
      </c>
      <c r="C14" s="39">
        <f>C12-C13</f>
        <v>2.687726874932078</v>
      </c>
      <c r="E14" s="11"/>
      <c r="I14" s="2"/>
      <c r="J14" s="15"/>
      <c r="K14" s="2"/>
      <c r="L14" s="41">
        <f>I12/G10*I12</f>
        <v>83.108938885722054</v>
      </c>
      <c r="R14" s="2"/>
      <c r="S14" s="2"/>
      <c r="T14" s="41">
        <f>MAX(V14/(1+$C$6)^(V$18-T$18),L14-$C$3)</f>
        <v>0</v>
      </c>
      <c r="U14" s="58"/>
      <c r="V14" s="42">
        <f>V12*$J$8+V16*$J$12</f>
        <v>0</v>
      </c>
      <c r="Z14" s="2"/>
      <c r="AA14" s="2"/>
      <c r="AB14" s="41">
        <f>MAX(AD14/(1+$C$6)^(AD$18-AB$18),$C$3-L14)</f>
        <v>6.8910611142779459</v>
      </c>
      <c r="AC14" s="58"/>
      <c r="AD14" s="42">
        <f>AD12*$J$8+AD16*$J$12</f>
        <v>6.8910611142779441</v>
      </c>
      <c r="AE14" s="62"/>
    </row>
    <row r="15" spans="2:31" x14ac:dyDescent="0.3">
      <c r="E15" s="11"/>
      <c r="AE15" s="62"/>
    </row>
    <row r="16" spans="2:31" x14ac:dyDescent="0.3">
      <c r="B16" s="1" t="s">
        <v>17</v>
      </c>
      <c r="C16" s="23">
        <f>C17/SQRT(12)</f>
        <v>2.8163146131069943E-2</v>
      </c>
      <c r="E16" s="11"/>
      <c r="I16" s="13"/>
      <c r="J16" s="17"/>
      <c r="K16" s="13"/>
      <c r="L16" s="13"/>
      <c r="N16" s="41">
        <f>L14*C19</f>
        <v>79.863870032880484</v>
      </c>
      <c r="P16" s="17"/>
      <c r="R16" s="13"/>
      <c r="T16" s="17"/>
      <c r="U16" s="17"/>
      <c r="V16" s="41">
        <f>MAX(N16-$C$3,0)</f>
        <v>0</v>
      </c>
      <c r="AB16" s="2"/>
      <c r="AC16" s="2"/>
      <c r="AD16" s="41">
        <f>MAX($C$3-N16,0)</f>
        <v>10.136129967119516</v>
      </c>
      <c r="AE16" s="62"/>
    </row>
    <row r="17" spans="2:31" x14ac:dyDescent="0.3">
      <c r="B17" s="1" t="s">
        <v>18</v>
      </c>
      <c r="C17" s="23">
        <f>Assumptions!B1</f>
        <v>9.7559999999999994E-2</v>
      </c>
      <c r="E17" s="11"/>
      <c r="P17" s="17"/>
      <c r="AE17" s="62"/>
    </row>
    <row r="18" spans="2:31" ht="14.4" thickBot="1" x14ac:dyDescent="0.35">
      <c r="B18" s="1" t="s">
        <v>19</v>
      </c>
      <c r="C18" s="13">
        <f>EXP(C17*SQRT(C7))</f>
        <v>1.0406325019249074</v>
      </c>
      <c r="E18" s="63" t="s">
        <v>10</v>
      </c>
      <c r="F18" s="64"/>
      <c r="G18" s="65">
        <v>0</v>
      </c>
      <c r="H18" s="66"/>
      <c r="I18" s="65">
        <f>G18+$C$7</f>
        <v>0.16666666666666666</v>
      </c>
      <c r="J18" s="67"/>
      <c r="K18" s="65"/>
      <c r="L18" s="65">
        <f>I18+$C$7</f>
        <v>0.33333333333333331</v>
      </c>
      <c r="M18" s="67"/>
      <c r="N18" s="65">
        <f>L18+$C$7</f>
        <v>0.5</v>
      </c>
      <c r="O18" s="67"/>
      <c r="P18" s="67">
        <f>G18</f>
        <v>0</v>
      </c>
      <c r="Q18" s="67"/>
      <c r="R18" s="67">
        <f>P18+$C$7</f>
        <v>0.16666666666666666</v>
      </c>
      <c r="S18" s="67"/>
      <c r="T18" s="67">
        <f>R18+$C$7</f>
        <v>0.33333333333333331</v>
      </c>
      <c r="U18" s="67"/>
      <c r="V18" s="67">
        <f>T18+$C$7</f>
        <v>0.5</v>
      </c>
      <c r="W18" s="67"/>
      <c r="X18" s="67">
        <f>G18</f>
        <v>0</v>
      </c>
      <c r="Y18" s="67"/>
      <c r="Z18" s="67">
        <f>X18+$C$7</f>
        <v>0.16666666666666666</v>
      </c>
      <c r="AA18" s="67"/>
      <c r="AB18" s="67">
        <f>Z18+$C$7</f>
        <v>0.33333333333333331</v>
      </c>
      <c r="AC18" s="67"/>
      <c r="AD18" s="67">
        <f>AB18+$C$7</f>
        <v>0.5</v>
      </c>
      <c r="AE18" s="68"/>
    </row>
    <row r="19" spans="2:31" x14ac:dyDescent="0.3">
      <c r="B19" s="1" t="s">
        <v>20</v>
      </c>
      <c r="C19" s="13">
        <f>1/C18</f>
        <v>0.96095403338859053</v>
      </c>
      <c r="I19" s="14"/>
    </row>
    <row r="21" spans="2:31" x14ac:dyDescent="0.3">
      <c r="C21" s="13">
        <f>C17*SQRT(C7)</f>
        <v>3.9828703217654471E-2</v>
      </c>
    </row>
    <row r="26" spans="2:31" x14ac:dyDescent="0.3">
      <c r="B26" s="193" t="s">
        <v>342</v>
      </c>
    </row>
  </sheetData>
  <hyperlinks>
    <hyperlink ref="B26" location="Assumptions!A1" display="Jump to front" xr:uid="{5C5381DF-31E9-4508-99BB-E8991EAA8239}"/>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A379A-ABFF-4DBE-8EAE-05A73286926E}">
  <sheetPr codeName="Sheet8"/>
  <dimension ref="B1:F25"/>
  <sheetViews>
    <sheetView workbookViewId="0">
      <selection activeCell="F20" sqref="F20"/>
    </sheetView>
  </sheetViews>
  <sheetFormatPr defaultColWidth="9.109375" defaultRowHeight="13.8" x14ac:dyDescent="0.3"/>
  <cols>
    <col min="1" max="1" width="0.44140625" style="1" customWidth="1"/>
    <col min="2" max="2" width="32.44140625" style="1" bestFit="1" customWidth="1"/>
    <col min="3" max="16384" width="9.109375" style="1"/>
  </cols>
  <sheetData>
    <row r="1" spans="2:6" ht="7.5" customHeight="1" thickBot="1" x14ac:dyDescent="0.35"/>
    <row r="2" spans="2:6" x14ac:dyDescent="0.3">
      <c r="B2" s="29" t="s">
        <v>16</v>
      </c>
      <c r="C2" s="50">
        <f>Assumptions!$B$2</f>
        <v>90</v>
      </c>
    </row>
    <row r="3" spans="2:6" x14ac:dyDescent="0.3">
      <c r="B3" s="30" t="s">
        <v>0</v>
      </c>
      <c r="C3" s="52">
        <f>Assumptions!$B$3</f>
        <v>90</v>
      </c>
    </row>
    <row r="4" spans="2:6" x14ac:dyDescent="0.3">
      <c r="B4" s="30" t="s">
        <v>22</v>
      </c>
      <c r="C4" s="27">
        <f>LN(1+C5)</f>
        <v>0</v>
      </c>
    </row>
    <row r="5" spans="2:6" x14ac:dyDescent="0.3">
      <c r="B5" s="30" t="s">
        <v>23</v>
      </c>
      <c r="C5" s="27">
        <f>Assumptions!B5</f>
        <v>0</v>
      </c>
    </row>
    <row r="6" spans="2:6" ht="14.4" thickBot="1" x14ac:dyDescent="0.35">
      <c r="B6" s="30" t="s">
        <v>4</v>
      </c>
      <c r="C6" s="31">
        <f>Assumptions!B4</f>
        <v>0.5</v>
      </c>
    </row>
    <row r="7" spans="2:6" x14ac:dyDescent="0.3">
      <c r="B7" s="32" t="s">
        <v>24</v>
      </c>
      <c r="C7" s="53">
        <f>C2*C16-C3*EXP(-C4*C6)*C17</f>
        <v>2.476414050081857</v>
      </c>
      <c r="E7" s="17"/>
      <c r="F7" s="17"/>
    </row>
    <row r="8" spans="2:6" x14ac:dyDescent="0.3">
      <c r="B8" s="30" t="s">
        <v>11</v>
      </c>
      <c r="C8" s="52">
        <f>MAX(C2-C3,0)</f>
        <v>0</v>
      </c>
      <c r="E8" s="58"/>
      <c r="F8" s="58"/>
    </row>
    <row r="9" spans="2:6" ht="14.4" thickBot="1" x14ac:dyDescent="0.35">
      <c r="B9" s="33" t="s">
        <v>12</v>
      </c>
      <c r="C9" s="54">
        <f>C7-C8</f>
        <v>2.476414050081857</v>
      </c>
      <c r="E9" s="58"/>
      <c r="F9" s="58"/>
    </row>
    <row r="10" spans="2:6" x14ac:dyDescent="0.3">
      <c r="B10" s="32" t="s">
        <v>25</v>
      </c>
      <c r="C10" s="53">
        <f>C3*EXP(-C4*C6)*C19-C2*C18</f>
        <v>2.476414050081857</v>
      </c>
    </row>
    <row r="11" spans="2:6" x14ac:dyDescent="0.3">
      <c r="B11" s="30" t="s">
        <v>13</v>
      </c>
      <c r="C11" s="52">
        <f>MAX(C3-C2,0)</f>
        <v>0</v>
      </c>
    </row>
    <row r="12" spans="2:6" ht="14.4" thickBot="1" x14ac:dyDescent="0.35">
      <c r="B12" s="33" t="s">
        <v>14</v>
      </c>
      <c r="C12" s="54">
        <f>C10-C11</f>
        <v>2.476414050081857</v>
      </c>
    </row>
    <row r="13" spans="2:6" x14ac:dyDescent="0.3">
      <c r="B13" s="32" t="s">
        <v>26</v>
      </c>
      <c r="C13" s="28">
        <f>Assumptions!$B$1</f>
        <v>9.7559999999999994E-2</v>
      </c>
    </row>
    <row r="14" spans="2:6" x14ac:dyDescent="0.3">
      <c r="B14" s="30" t="s">
        <v>27</v>
      </c>
      <c r="C14" s="34">
        <f>(LN(C2/C3)+(C4+C13^2/2)*C6)/(C13*SQRT(C6))</f>
        <v>3.4492668786279782E-2</v>
      </c>
    </row>
    <row r="15" spans="2:6" x14ac:dyDescent="0.3">
      <c r="B15" s="30" t="s">
        <v>28</v>
      </c>
      <c r="C15" s="34">
        <f>C14-C13*SQRT(C6)</f>
        <v>-3.4492668786279795E-2</v>
      </c>
    </row>
    <row r="16" spans="2:6" x14ac:dyDescent="0.3">
      <c r="B16" s="30" t="s">
        <v>29</v>
      </c>
      <c r="C16" s="34">
        <f>NORMSDIST(C14)</f>
        <v>0.51375785583378808</v>
      </c>
    </row>
    <row r="17" spans="2:3" x14ac:dyDescent="0.3">
      <c r="B17" s="30" t="s">
        <v>30</v>
      </c>
      <c r="C17" s="34">
        <f>NORMSDIST(C15)</f>
        <v>0.48624214416621192</v>
      </c>
    </row>
    <row r="18" spans="2:3" x14ac:dyDescent="0.3">
      <c r="B18" s="30" t="s">
        <v>31</v>
      </c>
      <c r="C18" s="34">
        <f>NORMSDIST(-C14)</f>
        <v>0.48624214416621192</v>
      </c>
    </row>
    <row r="19" spans="2:3" ht="14.4" thickBot="1" x14ac:dyDescent="0.35">
      <c r="B19" s="33" t="s">
        <v>32</v>
      </c>
      <c r="C19" s="35">
        <f>NORMSDIST(-C15)</f>
        <v>0.51375785583378808</v>
      </c>
    </row>
    <row r="20" spans="2:3" x14ac:dyDescent="0.3">
      <c r="B20" s="32"/>
      <c r="C20" s="32"/>
    </row>
    <row r="21" spans="2:3" x14ac:dyDescent="0.3">
      <c r="C21" s="13"/>
    </row>
    <row r="22" spans="2:3" x14ac:dyDescent="0.3">
      <c r="C22" s="13"/>
    </row>
    <row r="23" spans="2:3" x14ac:dyDescent="0.3">
      <c r="C23" s="13"/>
    </row>
    <row r="25" spans="2:3" x14ac:dyDescent="0.3">
      <c r="B25" s="193"/>
    </row>
  </sheetData>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68D7E-5AC0-414D-A50A-1701E431E403}">
  <sheetPr codeName="Sheet10"/>
  <dimension ref="A1:C23"/>
  <sheetViews>
    <sheetView tabSelected="1" workbookViewId="0">
      <selection activeCell="C9" sqref="C9"/>
    </sheetView>
  </sheetViews>
  <sheetFormatPr defaultColWidth="9.109375" defaultRowHeight="13.8" x14ac:dyDescent="0.3"/>
  <cols>
    <col min="1" max="1" width="45.33203125" style="1" bestFit="1" customWidth="1"/>
    <col min="2" max="16384" width="9.109375" style="1"/>
  </cols>
  <sheetData>
    <row r="1" spans="1:3" x14ac:dyDescent="0.3">
      <c r="A1" s="1" t="s">
        <v>35</v>
      </c>
      <c r="B1" s="175">
        <v>0.71719999999999995</v>
      </c>
    </row>
    <row r="2" spans="1:3" x14ac:dyDescent="0.3">
      <c r="A2" s="1" t="s">
        <v>0</v>
      </c>
      <c r="B2" s="175">
        <v>0.71719999999999995</v>
      </c>
    </row>
    <row r="3" spans="1:3" x14ac:dyDescent="0.3">
      <c r="A3" s="1" t="s">
        <v>115</v>
      </c>
      <c r="B3" s="175">
        <v>7.4999999999999997E-3</v>
      </c>
    </row>
    <row r="4" spans="1:3" x14ac:dyDescent="0.3">
      <c r="A4" s="1" t="s">
        <v>116</v>
      </c>
      <c r="B4" s="175">
        <v>7.3000000000000001E-3</v>
      </c>
    </row>
    <row r="5" spans="1:3" x14ac:dyDescent="0.3">
      <c r="A5" s="1" t="s">
        <v>275</v>
      </c>
      <c r="B5" s="185">
        <v>5000</v>
      </c>
    </row>
    <row r="6" spans="1:3" x14ac:dyDescent="0.3">
      <c r="A6" s="1" t="s">
        <v>276</v>
      </c>
      <c r="B6" s="185">
        <v>4000</v>
      </c>
    </row>
    <row r="7" spans="1:3" x14ac:dyDescent="0.3">
      <c r="A7" s="1" t="s">
        <v>277</v>
      </c>
      <c r="B7" s="186">
        <v>0.73</v>
      </c>
    </row>
    <row r="8" spans="1:3" x14ac:dyDescent="0.3">
      <c r="A8" s="1" t="s">
        <v>278</v>
      </c>
      <c r="B8" s="52">
        <f>B6/B2</f>
        <v>5577.2448410485222</v>
      </c>
      <c r="C8" s="58">
        <f>B5</f>
        <v>5000</v>
      </c>
    </row>
    <row r="9" spans="1:3" x14ac:dyDescent="0.3">
      <c r="A9" s="152" t="s">
        <v>279</v>
      </c>
    </row>
    <row r="10" spans="1:3" x14ac:dyDescent="0.3">
      <c r="A10" s="1" t="s">
        <v>280</v>
      </c>
      <c r="B10" s="58">
        <f>B5*B7</f>
        <v>3650</v>
      </c>
      <c r="C10" s="58">
        <f>B5*B7</f>
        <v>3650</v>
      </c>
    </row>
    <row r="11" spans="1:3" x14ac:dyDescent="0.3">
      <c r="A11" s="1" t="s">
        <v>281</v>
      </c>
      <c r="B11" s="58">
        <f>MAX(B7-B2,0)*B8</f>
        <v>71.388733965421267</v>
      </c>
      <c r="C11" s="58">
        <f>MAX(B7-B2,0)*C8</f>
        <v>64.000000000000171</v>
      </c>
    </row>
    <row r="12" spans="1:3" x14ac:dyDescent="0.3">
      <c r="A12" s="1" t="s">
        <v>282</v>
      </c>
      <c r="B12" s="187">
        <f>B8*B3</f>
        <v>41.829336307863912</v>
      </c>
      <c r="C12" s="187">
        <f>C8*B3</f>
        <v>37.5</v>
      </c>
    </row>
    <row r="13" spans="1:3" x14ac:dyDescent="0.3">
      <c r="A13" s="1" t="s">
        <v>283</v>
      </c>
      <c r="B13" s="58">
        <f>B10-B11+B12</f>
        <v>3620.4406023424426</v>
      </c>
      <c r="C13" s="58">
        <f>C10-C11+C12</f>
        <v>3623.5</v>
      </c>
    </row>
    <row r="23" spans="1:1" x14ac:dyDescent="0.3">
      <c r="A23" s="193" t="s">
        <v>342</v>
      </c>
    </row>
  </sheetData>
  <hyperlinks>
    <hyperlink ref="A23" location="Assumptions!A1" display="Jump to front" xr:uid="{B2EE737B-38D4-483C-BF61-F9F752A4ED64}"/>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773E9-F6EC-48B4-BF1B-53489F458411}">
  <sheetPr codeName="Sheet13"/>
  <dimension ref="A1:G31"/>
  <sheetViews>
    <sheetView workbookViewId="0">
      <selection activeCell="A31" sqref="A31"/>
    </sheetView>
  </sheetViews>
  <sheetFormatPr defaultColWidth="8.77734375" defaultRowHeight="13.8" x14ac:dyDescent="0.3"/>
  <cols>
    <col min="1" max="1" width="57.77734375" style="70" bestFit="1" customWidth="1"/>
    <col min="2" max="16384" width="8.77734375" style="70"/>
  </cols>
  <sheetData>
    <row r="1" spans="1:7" x14ac:dyDescent="0.3">
      <c r="A1" s="102"/>
      <c r="B1" s="144" t="s">
        <v>129</v>
      </c>
      <c r="C1" s="144" t="s">
        <v>130</v>
      </c>
      <c r="D1" s="144" t="s">
        <v>131</v>
      </c>
      <c r="E1" s="144" t="s">
        <v>132</v>
      </c>
      <c r="F1" s="144" t="s">
        <v>133</v>
      </c>
    </row>
    <row r="2" spans="1:7" x14ac:dyDescent="0.3">
      <c r="A2" s="70" t="s">
        <v>134</v>
      </c>
      <c r="B2" s="145">
        <v>4.16</v>
      </c>
      <c r="C2" s="145">
        <v>4.8</v>
      </c>
      <c r="D2" s="145">
        <v>4.3</v>
      </c>
      <c r="E2" s="145">
        <v>3.6</v>
      </c>
      <c r="F2" s="145">
        <v>3.2</v>
      </c>
    </row>
    <row r="3" spans="1:7" x14ac:dyDescent="0.3">
      <c r="A3" s="70" t="s">
        <v>135</v>
      </c>
      <c r="B3" s="145"/>
      <c r="C3" s="145">
        <v>0.2</v>
      </c>
      <c r="D3" s="145">
        <v>0.28000000000000003</v>
      </c>
      <c r="E3" s="145">
        <v>0.37</v>
      </c>
      <c r="F3" s="145">
        <v>0.42</v>
      </c>
    </row>
    <row r="4" spans="1:7" x14ac:dyDescent="0.3">
      <c r="A4" s="70" t="s">
        <v>136</v>
      </c>
      <c r="B4" s="145"/>
      <c r="C4" s="146">
        <v>0.8</v>
      </c>
      <c r="D4" s="146">
        <v>0.6</v>
      </c>
      <c r="E4" s="146">
        <v>0.4</v>
      </c>
      <c r="F4" s="146">
        <v>0.2</v>
      </c>
    </row>
    <row r="5" spans="1:7" x14ac:dyDescent="0.3">
      <c r="B5" s="145"/>
      <c r="C5" s="145"/>
      <c r="D5" s="145"/>
      <c r="E5" s="145"/>
      <c r="F5" s="145"/>
    </row>
    <row r="6" spans="1:7" x14ac:dyDescent="0.3">
      <c r="A6" s="70" t="s">
        <v>137</v>
      </c>
      <c r="B6" s="105">
        <v>100</v>
      </c>
    </row>
    <row r="7" spans="1:7" x14ac:dyDescent="0.3">
      <c r="A7" s="70" t="s">
        <v>138</v>
      </c>
      <c r="B7" s="105">
        <v>0.4</v>
      </c>
    </row>
    <row r="8" spans="1:7" x14ac:dyDescent="0.3">
      <c r="A8" s="70" t="s">
        <v>0</v>
      </c>
      <c r="B8" s="145">
        <v>4.16</v>
      </c>
    </row>
    <row r="9" spans="1:7" x14ac:dyDescent="0.3">
      <c r="A9" s="70" t="s">
        <v>139</v>
      </c>
      <c r="B9" s="70">
        <v>4.0000000000000001E-3</v>
      </c>
    </row>
    <row r="10" spans="1:7" x14ac:dyDescent="0.3">
      <c r="A10" s="71" t="s">
        <v>140</v>
      </c>
    </row>
    <row r="11" spans="1:7" x14ac:dyDescent="0.3">
      <c r="A11" s="70" t="s">
        <v>141</v>
      </c>
      <c r="C11" s="147">
        <f>$B$6/4</f>
        <v>25</v>
      </c>
      <c r="D11" s="147">
        <f>$B$6/4</f>
        <v>25</v>
      </c>
      <c r="E11" s="147">
        <f>$B$6/4</f>
        <v>25</v>
      </c>
      <c r="F11" s="147">
        <f>$B$6/4</f>
        <v>25</v>
      </c>
      <c r="G11" s="147">
        <f>SUM(C11:F11)</f>
        <v>100</v>
      </c>
    </row>
    <row r="12" spans="1:7" x14ac:dyDescent="0.3">
      <c r="A12" s="70" t="s">
        <v>142</v>
      </c>
      <c r="C12" s="147">
        <f>C11*C4</f>
        <v>20</v>
      </c>
      <c r="D12" s="147">
        <f>D11*D4</f>
        <v>15</v>
      </c>
      <c r="E12" s="147">
        <f>E11*E4</f>
        <v>10</v>
      </c>
      <c r="F12" s="147">
        <f>F11*F4</f>
        <v>5</v>
      </c>
      <c r="G12" s="147">
        <f>SUM(C12:F12)</f>
        <v>50</v>
      </c>
    </row>
    <row r="13" spans="1:7" x14ac:dyDescent="0.3">
      <c r="A13" s="70" t="s">
        <v>143</v>
      </c>
      <c r="C13" s="147">
        <f>C12*C3</f>
        <v>4</v>
      </c>
      <c r="D13" s="147">
        <f>D12*D3</f>
        <v>4.2</v>
      </c>
      <c r="E13" s="147">
        <f>E12*E3</f>
        <v>3.7</v>
      </c>
      <c r="F13" s="147">
        <f>F12*F3</f>
        <v>2.1</v>
      </c>
      <c r="G13" s="147">
        <f>SUM(C13:F13)</f>
        <v>13.999999999999998</v>
      </c>
    </row>
    <row r="14" spans="1:7" x14ac:dyDescent="0.3">
      <c r="A14" s="70" t="s">
        <v>144</v>
      </c>
      <c r="C14" s="147">
        <f>MAX(C2-$B$8,0)*C12</f>
        <v>12.799999999999994</v>
      </c>
      <c r="D14" s="147">
        <f>MAX(D2-$B$8,0)*D12</f>
        <v>2.0999999999999952</v>
      </c>
      <c r="E14" s="147">
        <f>MAX(E2-$B$8,0)*E12</f>
        <v>0</v>
      </c>
      <c r="F14" s="147">
        <f>MAX(F2-$B$8,0)*F12</f>
        <v>0</v>
      </c>
      <c r="G14" s="147">
        <f>SUM(C14:F14)</f>
        <v>14.899999999999988</v>
      </c>
    </row>
    <row r="15" spans="1:7" x14ac:dyDescent="0.3">
      <c r="A15" s="70" t="s">
        <v>145</v>
      </c>
      <c r="C15" s="147">
        <f>C14-C13</f>
        <v>8.7999999999999936</v>
      </c>
      <c r="D15" s="147">
        <f>D14-D13</f>
        <v>-2.100000000000005</v>
      </c>
      <c r="E15" s="147">
        <f>E14-E13</f>
        <v>-3.7</v>
      </c>
      <c r="F15" s="147">
        <f>F14-F13</f>
        <v>-2.1</v>
      </c>
      <c r="G15" s="147">
        <f>SUM(C15:F15)</f>
        <v>0.89999999999998836</v>
      </c>
    </row>
    <row r="16" spans="1:7" x14ac:dyDescent="0.3">
      <c r="C16" s="147"/>
      <c r="D16" s="147"/>
      <c r="E16" s="147"/>
      <c r="F16" s="147"/>
      <c r="G16" s="147"/>
    </row>
    <row r="17" spans="1:7" x14ac:dyDescent="0.3">
      <c r="A17" s="70" t="s">
        <v>146</v>
      </c>
      <c r="C17" s="147">
        <f>($B$2-C2)*C11*$B$7</f>
        <v>-6.3999999999999977</v>
      </c>
      <c r="D17" s="147">
        <f>($B$2-D2)*D11*$B$7</f>
        <v>-1.3999999999999968</v>
      </c>
      <c r="E17" s="147">
        <f>($B$2-E2)*E11*$B$7</f>
        <v>5.6000000000000014</v>
      </c>
      <c r="F17" s="147">
        <f>($B$2-F2)*F11*$B$7</f>
        <v>9.6000000000000014</v>
      </c>
      <c r="G17" s="147">
        <f>SUM(C17:F17)</f>
        <v>7.4000000000000083</v>
      </c>
    </row>
    <row r="18" spans="1:7" x14ac:dyDescent="0.3">
      <c r="A18" s="70" t="s">
        <v>147</v>
      </c>
      <c r="C18" s="147">
        <f>C17+C15</f>
        <v>2.3999999999999959</v>
      </c>
      <c r="D18" s="147">
        <f>D17+D15</f>
        <v>-3.5000000000000018</v>
      </c>
      <c r="E18" s="147">
        <f>E17+E15</f>
        <v>1.9000000000000012</v>
      </c>
      <c r="F18" s="147">
        <f>F17+F15</f>
        <v>7.5000000000000018</v>
      </c>
      <c r="G18" s="147">
        <f>SUM(C18:F18)</f>
        <v>8.2999999999999972</v>
      </c>
    </row>
    <row r="20" spans="1:7" x14ac:dyDescent="0.3">
      <c r="A20" s="71" t="s">
        <v>148</v>
      </c>
    </row>
    <row r="21" spans="1:7" x14ac:dyDescent="0.3">
      <c r="A21" s="70" t="s">
        <v>141</v>
      </c>
      <c r="C21" s="147">
        <f>$B$6/4</f>
        <v>25</v>
      </c>
      <c r="D21" s="147">
        <f>$B$6/4</f>
        <v>25</v>
      </c>
      <c r="E21" s="147">
        <f>$B$6/4</f>
        <v>25</v>
      </c>
      <c r="F21" s="147">
        <f>$B$6/4</f>
        <v>25</v>
      </c>
      <c r="G21" s="147">
        <f>SUM(C21:F21)</f>
        <v>100</v>
      </c>
    </row>
    <row r="22" spans="1:7" x14ac:dyDescent="0.3">
      <c r="A22" s="70" t="s">
        <v>149</v>
      </c>
      <c r="C22" s="147">
        <f>C21*C4*$B$7</f>
        <v>8</v>
      </c>
      <c r="D22" s="147">
        <f>D21*D4*$B$7</f>
        <v>6</v>
      </c>
      <c r="E22" s="147">
        <f>E21*E4*$B$7</f>
        <v>4</v>
      </c>
      <c r="F22" s="147">
        <f>F21*F4*$B$7</f>
        <v>2</v>
      </c>
      <c r="G22" s="147">
        <f>SUM(C22:F22)</f>
        <v>20</v>
      </c>
    </row>
    <row r="23" spans="1:7" x14ac:dyDescent="0.3">
      <c r="A23" s="70" t="s">
        <v>143</v>
      </c>
      <c r="C23" s="147">
        <f>C22*C3</f>
        <v>1.6</v>
      </c>
      <c r="D23" s="147">
        <f>D22*D3</f>
        <v>1.6800000000000002</v>
      </c>
      <c r="E23" s="147">
        <f>E22*E3</f>
        <v>1.48</v>
      </c>
      <c r="F23" s="147">
        <f>F22*F3</f>
        <v>0.84</v>
      </c>
      <c r="G23" s="147">
        <f>SUM(C23:F23)</f>
        <v>5.6</v>
      </c>
    </row>
    <row r="24" spans="1:7" x14ac:dyDescent="0.3">
      <c r="A24" s="70" t="s">
        <v>144</v>
      </c>
      <c r="C24" s="147">
        <f>MAX(C2-$B$8,0)*C22</f>
        <v>5.1199999999999974</v>
      </c>
      <c r="D24" s="147">
        <f>MAX(D2-$B$8,0)*D22</f>
        <v>0.83999999999999808</v>
      </c>
      <c r="E24" s="147">
        <f>MAX(E2-$B$8,0)*E22</f>
        <v>0</v>
      </c>
      <c r="F24" s="147">
        <f>MAX(F2-$B$8,0)*F22</f>
        <v>0</v>
      </c>
      <c r="G24" s="147">
        <f>SUM(C24:F24)</f>
        <v>5.9599999999999955</v>
      </c>
    </row>
    <row r="25" spans="1:7" x14ac:dyDescent="0.3">
      <c r="A25" s="70" t="s">
        <v>145</v>
      </c>
      <c r="C25" s="147">
        <f>C24-C23</f>
        <v>3.5199999999999974</v>
      </c>
      <c r="D25" s="147">
        <f>D24-D23</f>
        <v>-0.84000000000000208</v>
      </c>
      <c r="E25" s="147">
        <f>E24-E23</f>
        <v>-1.48</v>
      </c>
      <c r="F25" s="147">
        <f>F24-F23</f>
        <v>-0.84</v>
      </c>
      <c r="G25" s="147">
        <f>SUM(C25:F25)</f>
        <v>0.35999999999999532</v>
      </c>
    </row>
    <row r="26" spans="1:7" x14ac:dyDescent="0.3">
      <c r="C26" s="147"/>
      <c r="D26" s="147"/>
      <c r="E26" s="147"/>
      <c r="F26" s="147"/>
      <c r="G26" s="147"/>
    </row>
    <row r="27" spans="1:7" x14ac:dyDescent="0.3">
      <c r="A27" s="70" t="s">
        <v>146</v>
      </c>
      <c r="C27" s="147">
        <f>($B$2-C2)*C21*$B$7</f>
        <v>-6.3999999999999977</v>
      </c>
      <c r="D27" s="147">
        <f>($B$2-D2)*D21*$B$7</f>
        <v>-1.3999999999999968</v>
      </c>
      <c r="E27" s="147">
        <f>($B$2-E2)*E21*$B$7</f>
        <v>5.6000000000000014</v>
      </c>
      <c r="F27" s="147">
        <f>($B$2-F2)*F21*$B$7</f>
        <v>9.6000000000000014</v>
      </c>
      <c r="G27" s="147">
        <f>SUM(C27:F27)</f>
        <v>7.4000000000000083</v>
      </c>
    </row>
    <row r="28" spans="1:7" x14ac:dyDescent="0.3">
      <c r="A28" s="70" t="s">
        <v>147</v>
      </c>
      <c r="C28" s="147">
        <f>C27+C25</f>
        <v>-2.8800000000000003</v>
      </c>
      <c r="D28" s="147">
        <f>D27+D25</f>
        <v>-2.2399999999999989</v>
      </c>
      <c r="E28" s="147">
        <f>E27+E25</f>
        <v>4.120000000000001</v>
      </c>
      <c r="F28" s="147">
        <f>F27+F25</f>
        <v>8.7600000000000016</v>
      </c>
      <c r="G28" s="147">
        <f>SUM(C28:F28)</f>
        <v>7.7600000000000033</v>
      </c>
    </row>
    <row r="31" spans="1:7" x14ac:dyDescent="0.3">
      <c r="A31" s="193" t="s">
        <v>342</v>
      </c>
    </row>
  </sheetData>
  <hyperlinks>
    <hyperlink ref="A31" location="Assumptions!A1" display="Jump to front" xr:uid="{7B047418-0BA6-4D70-AA40-912271F180CF}"/>
  </hyperlinks>
  <pageMargins left="0.7" right="0.7" top="0.75" bottom="0.75" header="0.3" footer="0.3"/>
  <pageSetup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86728-B6E4-403C-A487-5F988C909791}">
  <sheetPr codeName="Sheet9"/>
  <dimension ref="A1:I30"/>
  <sheetViews>
    <sheetView showGridLines="0" workbookViewId="0">
      <selection activeCell="A34" sqref="A34"/>
    </sheetView>
  </sheetViews>
  <sheetFormatPr defaultRowHeight="13.8" x14ac:dyDescent="0.3"/>
  <cols>
    <col min="1" max="1" width="62.109375" bestFit="1" customWidth="1"/>
    <col min="2" max="2" width="9" customWidth="1"/>
    <col min="3" max="3" width="10.33203125" bestFit="1" customWidth="1"/>
    <col min="4" max="5" width="11.44140625" bestFit="1" customWidth="1"/>
    <col min="6" max="6" width="13.109375" customWidth="1"/>
    <col min="7" max="7" width="11.44140625" bestFit="1" customWidth="1"/>
  </cols>
  <sheetData>
    <row r="1" spans="1:9" x14ac:dyDescent="0.3">
      <c r="A1" s="102"/>
      <c r="B1" s="144" t="s">
        <v>129</v>
      </c>
      <c r="C1" s="144" t="s">
        <v>130</v>
      </c>
      <c r="D1" s="144" t="s">
        <v>131</v>
      </c>
      <c r="E1" s="144" t="s">
        <v>132</v>
      </c>
      <c r="F1" s="144" t="s">
        <v>133</v>
      </c>
      <c r="G1" s="70"/>
    </row>
    <row r="2" spans="1:9" x14ac:dyDescent="0.3">
      <c r="A2" s="70" t="s">
        <v>134</v>
      </c>
      <c r="B2" s="145">
        <v>4.0999999999999996</v>
      </c>
      <c r="C2" s="145">
        <v>3.8</v>
      </c>
      <c r="D2" s="145">
        <v>4.3</v>
      </c>
      <c r="E2" s="145">
        <v>5.6</v>
      </c>
      <c r="F2" s="145">
        <v>6.2</v>
      </c>
      <c r="G2" s="70"/>
      <c r="H2" t="s">
        <v>190</v>
      </c>
      <c r="I2" s="145">
        <v>5</v>
      </c>
    </row>
    <row r="3" spans="1:9" x14ac:dyDescent="0.3">
      <c r="A3" s="70" t="s">
        <v>135</v>
      </c>
      <c r="B3" s="145"/>
      <c r="C3" s="145">
        <v>0.04</v>
      </c>
      <c r="D3" s="145">
        <v>0.12</v>
      </c>
      <c r="E3" s="145">
        <v>0.18</v>
      </c>
      <c r="F3" s="145">
        <v>0.23</v>
      </c>
      <c r="G3" s="70"/>
    </row>
    <row r="4" spans="1:9" x14ac:dyDescent="0.3">
      <c r="A4" s="70" t="s">
        <v>136</v>
      </c>
      <c r="B4" s="145"/>
      <c r="C4" s="146">
        <v>1</v>
      </c>
      <c r="D4" s="146">
        <v>1</v>
      </c>
      <c r="E4" s="146">
        <v>1</v>
      </c>
      <c r="F4" s="146">
        <v>1</v>
      </c>
      <c r="G4" s="70"/>
    </row>
    <row r="5" spans="1:9" x14ac:dyDescent="0.3">
      <c r="A5" s="70" t="s">
        <v>186</v>
      </c>
      <c r="B5" s="145"/>
      <c r="C5" s="158">
        <f>$G$5/4</f>
        <v>500000</v>
      </c>
      <c r="D5" s="158">
        <f t="shared" ref="D5:F5" si="0">$G$5/4</f>
        <v>500000</v>
      </c>
      <c r="E5" s="158">
        <f t="shared" si="0"/>
        <v>500000</v>
      </c>
      <c r="F5" s="158">
        <f t="shared" si="0"/>
        <v>500000</v>
      </c>
      <c r="G5" s="70">
        <v>2000000</v>
      </c>
    </row>
    <row r="6" spans="1:9" x14ac:dyDescent="0.3">
      <c r="A6" s="70" t="s">
        <v>187</v>
      </c>
      <c r="B6" s="145"/>
      <c r="C6" s="158">
        <f>$G$6/4</f>
        <v>550000</v>
      </c>
      <c r="D6" s="158">
        <f t="shared" ref="D6:F6" si="1">$G$6/4</f>
        <v>550000</v>
      </c>
      <c r="E6" s="158">
        <f t="shared" si="1"/>
        <v>550000</v>
      </c>
      <c r="F6" s="158">
        <f t="shared" si="1"/>
        <v>550000</v>
      </c>
      <c r="G6" s="70">
        <v>2200000</v>
      </c>
    </row>
    <row r="7" spans="1:9" x14ac:dyDescent="0.3">
      <c r="A7" s="70"/>
      <c r="B7" s="145"/>
      <c r="C7" s="145"/>
      <c r="D7" s="145"/>
      <c r="E7" s="145"/>
      <c r="F7" s="145"/>
      <c r="G7" s="70"/>
    </row>
    <row r="8" spans="1:9" x14ac:dyDescent="0.3">
      <c r="A8" s="70"/>
      <c r="B8" s="105"/>
      <c r="C8" s="70"/>
      <c r="D8" s="70"/>
      <c r="E8" s="70"/>
      <c r="F8" s="70"/>
      <c r="G8" s="70"/>
    </row>
    <row r="9" spans="1:9" x14ac:dyDescent="0.3">
      <c r="A9" s="70" t="s">
        <v>188</v>
      </c>
      <c r="B9" s="105"/>
      <c r="C9" s="155">
        <f>C6*C2</f>
        <v>2090000</v>
      </c>
      <c r="D9" s="155">
        <f t="shared" ref="D9:E9" si="2">D6*D2</f>
        <v>2365000</v>
      </c>
      <c r="E9" s="155">
        <f t="shared" si="2"/>
        <v>3080000</v>
      </c>
      <c r="F9" s="155">
        <f>F6*F2</f>
        <v>3410000</v>
      </c>
      <c r="G9" s="70"/>
    </row>
    <row r="10" spans="1:9" x14ac:dyDescent="0.3">
      <c r="A10" s="70" t="s">
        <v>189</v>
      </c>
      <c r="B10" s="145"/>
      <c r="C10" s="159">
        <f>C5*C3</f>
        <v>20000</v>
      </c>
      <c r="D10" s="159">
        <f t="shared" ref="D10:F10" si="3">D5*D3</f>
        <v>60000</v>
      </c>
      <c r="E10" s="159">
        <f t="shared" si="3"/>
        <v>90000</v>
      </c>
      <c r="F10" s="159">
        <f t="shared" si="3"/>
        <v>115000</v>
      </c>
      <c r="G10" s="70"/>
    </row>
    <row r="11" spans="1:9" x14ac:dyDescent="0.3">
      <c r="A11" s="70" t="s">
        <v>338</v>
      </c>
      <c r="B11" s="70"/>
      <c r="C11" s="159">
        <f>-MAX(C2-$I$2,0)*C5</f>
        <v>0</v>
      </c>
      <c r="D11" s="159">
        <f>-MAX(D2-$I$2,0)*D5</f>
        <v>0</v>
      </c>
      <c r="E11" s="159">
        <f>-MAX(E2-$I$2,0)*E5</f>
        <v>-299999.99999999983</v>
      </c>
      <c r="F11" s="159">
        <f>-MAX(F2-$I$2,0)*F5</f>
        <v>-600000.00000000012</v>
      </c>
      <c r="G11" s="70"/>
    </row>
    <row r="12" spans="1:9" x14ac:dyDescent="0.3">
      <c r="A12" s="71" t="s">
        <v>337</v>
      </c>
      <c r="B12" s="70"/>
      <c r="C12" s="155">
        <f>SUM(C9:C11)</f>
        <v>2110000</v>
      </c>
      <c r="D12" s="155">
        <f t="shared" ref="D12:F12" si="4">SUM(D9:D11)</f>
        <v>2425000</v>
      </c>
      <c r="E12" s="155">
        <f>SUM(E9:E11)</f>
        <v>2870000</v>
      </c>
      <c r="F12" s="155">
        <f t="shared" si="4"/>
        <v>2925000</v>
      </c>
      <c r="G12" s="81">
        <f>SUM(C12:F12)</f>
        <v>10330000</v>
      </c>
    </row>
    <row r="13" spans="1:9" x14ac:dyDescent="0.3">
      <c r="A13" s="70"/>
      <c r="B13" s="70"/>
      <c r="C13" s="147"/>
      <c r="D13" s="147"/>
      <c r="E13" s="147"/>
      <c r="F13" s="147"/>
      <c r="G13" s="147"/>
    </row>
    <row r="14" spans="1:9" x14ac:dyDescent="0.3">
      <c r="A14" s="70"/>
      <c r="B14" s="70"/>
      <c r="C14" s="147"/>
      <c r="D14" s="147"/>
      <c r="E14" s="147"/>
      <c r="F14" s="147"/>
      <c r="G14" s="147"/>
    </row>
    <row r="15" spans="1:9" x14ac:dyDescent="0.3">
      <c r="A15" s="70"/>
      <c r="B15" s="70"/>
      <c r="C15" s="147"/>
      <c r="D15" s="147"/>
      <c r="E15" s="147"/>
      <c r="F15" s="147"/>
      <c r="G15" s="147"/>
    </row>
    <row r="16" spans="1:9" x14ac:dyDescent="0.3">
      <c r="A16" s="70"/>
      <c r="B16" s="70"/>
      <c r="C16" s="147"/>
      <c r="D16" s="147"/>
      <c r="E16" s="147"/>
      <c r="F16" s="147"/>
      <c r="G16" s="147"/>
    </row>
    <row r="17" spans="1:7" x14ac:dyDescent="0.3">
      <c r="A17" s="70"/>
      <c r="B17" s="70"/>
      <c r="C17" s="147"/>
      <c r="D17" s="147"/>
      <c r="E17" s="147"/>
      <c r="F17" s="147"/>
      <c r="G17" s="147"/>
    </row>
    <row r="18" spans="1:7" x14ac:dyDescent="0.3">
      <c r="A18" s="70"/>
      <c r="B18" s="70"/>
      <c r="C18" s="147"/>
      <c r="D18" s="147"/>
      <c r="E18" s="147"/>
      <c r="F18" s="147"/>
      <c r="G18" s="147"/>
    </row>
    <row r="19" spans="1:7" x14ac:dyDescent="0.3">
      <c r="A19" s="70"/>
      <c r="B19" s="70"/>
      <c r="C19" s="147"/>
      <c r="D19" s="147"/>
      <c r="E19" s="147"/>
      <c r="F19" s="147"/>
      <c r="G19" s="147"/>
    </row>
    <row r="20" spans="1:7" x14ac:dyDescent="0.3">
      <c r="A20" s="70"/>
      <c r="B20" s="70"/>
      <c r="C20" s="147"/>
      <c r="D20" s="147"/>
      <c r="E20" s="147"/>
      <c r="F20" s="147"/>
      <c r="G20" s="147"/>
    </row>
    <row r="21" spans="1:7" x14ac:dyDescent="0.3">
      <c r="A21" s="70"/>
      <c r="B21" s="70"/>
      <c r="C21" s="70"/>
      <c r="D21" s="70"/>
      <c r="E21" s="70"/>
      <c r="F21" s="70"/>
      <c r="G21" s="70"/>
    </row>
    <row r="22" spans="1:7" x14ac:dyDescent="0.3">
      <c r="A22" s="71"/>
      <c r="B22" s="70"/>
      <c r="C22" s="70"/>
      <c r="D22" s="70"/>
      <c r="E22" s="70"/>
      <c r="F22" s="70"/>
      <c r="G22" s="70"/>
    </row>
    <row r="23" spans="1:7" x14ac:dyDescent="0.3">
      <c r="A23" s="70"/>
      <c r="B23" s="70"/>
      <c r="C23" s="147"/>
      <c r="D23" s="147"/>
      <c r="E23" s="147"/>
      <c r="F23" s="147"/>
      <c r="G23" s="147"/>
    </row>
    <row r="24" spans="1:7" x14ac:dyDescent="0.3">
      <c r="A24" s="70"/>
      <c r="B24" s="70"/>
      <c r="C24" s="147"/>
      <c r="D24" s="147"/>
      <c r="E24" s="147"/>
      <c r="F24" s="147"/>
      <c r="G24" s="147"/>
    </row>
    <row r="25" spans="1:7" x14ac:dyDescent="0.3">
      <c r="A25" s="70"/>
      <c r="B25" s="70"/>
      <c r="C25" s="147"/>
      <c r="D25" s="147"/>
      <c r="E25" s="147"/>
      <c r="F25" s="147"/>
      <c r="G25" s="147"/>
    </row>
    <row r="26" spans="1:7" x14ac:dyDescent="0.3">
      <c r="A26" s="70"/>
      <c r="B26" s="70"/>
      <c r="C26" s="147"/>
      <c r="D26" s="147"/>
      <c r="E26" s="147"/>
      <c r="F26" s="147"/>
      <c r="G26" s="147"/>
    </row>
    <row r="27" spans="1:7" x14ac:dyDescent="0.3">
      <c r="A27" s="70"/>
      <c r="B27" s="70"/>
      <c r="C27" s="147"/>
      <c r="D27" s="147"/>
      <c r="E27" s="147"/>
      <c r="F27" s="147"/>
      <c r="G27" s="147"/>
    </row>
    <row r="28" spans="1:7" x14ac:dyDescent="0.3">
      <c r="A28" s="70"/>
      <c r="B28" s="70"/>
      <c r="C28" s="147"/>
      <c r="D28" s="147"/>
      <c r="E28" s="147"/>
      <c r="F28" s="147"/>
      <c r="G28" s="147"/>
    </row>
    <row r="29" spans="1:7" x14ac:dyDescent="0.3">
      <c r="A29" s="70"/>
      <c r="B29" s="70"/>
      <c r="C29" s="147"/>
      <c r="D29" s="147"/>
      <c r="E29" s="147"/>
      <c r="F29" s="147"/>
      <c r="G29" s="147"/>
    </row>
    <row r="30" spans="1:7" x14ac:dyDescent="0.3">
      <c r="A30" s="193" t="s">
        <v>342</v>
      </c>
      <c r="B30" s="70"/>
      <c r="C30" s="147"/>
      <c r="D30" s="147"/>
      <c r="E30" s="147"/>
      <c r="F30" s="147"/>
      <c r="G30" s="147"/>
    </row>
  </sheetData>
  <hyperlinks>
    <hyperlink ref="A30" location="Assumptions!A1" display="Jump to front" xr:uid="{E7562E4F-EC85-4ABB-8568-224619077984}"/>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1EDD7-F7C5-4265-93FA-E06C0A2ACAD1}">
  <sheetPr codeName="Sheet11"/>
  <dimension ref="A1:F28"/>
  <sheetViews>
    <sheetView showGridLines="0" workbookViewId="0">
      <selection activeCell="B21" sqref="B21"/>
    </sheetView>
  </sheetViews>
  <sheetFormatPr defaultRowHeight="13.8" x14ac:dyDescent="0.3"/>
  <cols>
    <col min="1" max="1" width="30" bestFit="1" customWidth="1"/>
  </cols>
  <sheetData>
    <row r="1" spans="1:6" x14ac:dyDescent="0.3">
      <c r="A1" s="161" t="s">
        <v>203</v>
      </c>
      <c r="B1" s="179">
        <v>0.02</v>
      </c>
      <c r="C1" s="161"/>
      <c r="D1" s="161"/>
      <c r="E1" s="161"/>
      <c r="F1" s="161"/>
    </row>
    <row r="2" spans="1:6" x14ac:dyDescent="0.3">
      <c r="A2" s="161" t="s">
        <v>204</v>
      </c>
      <c r="B2" s="177" t="s">
        <v>129</v>
      </c>
      <c r="C2" s="177" t="s">
        <v>205</v>
      </c>
      <c r="D2" s="177" t="s">
        <v>206</v>
      </c>
      <c r="E2" s="161"/>
      <c r="F2" s="161"/>
    </row>
    <row r="3" spans="1:6" x14ac:dyDescent="0.3">
      <c r="A3" s="161" t="s">
        <v>207</v>
      </c>
      <c r="B3" s="162">
        <v>127</v>
      </c>
      <c r="C3" s="162">
        <v>200</v>
      </c>
      <c r="D3" s="162">
        <v>10</v>
      </c>
      <c r="E3" s="161"/>
      <c r="F3" s="161"/>
    </row>
    <row r="4" spans="1:6" x14ac:dyDescent="0.3">
      <c r="A4" s="161" t="s">
        <v>202</v>
      </c>
      <c r="B4" s="162">
        <v>118</v>
      </c>
      <c r="C4" s="162">
        <v>140</v>
      </c>
      <c r="D4" s="162">
        <v>100</v>
      </c>
      <c r="E4" s="161"/>
      <c r="F4" s="161"/>
    </row>
    <row r="5" spans="1:6" x14ac:dyDescent="0.3">
      <c r="A5" s="161"/>
      <c r="B5" s="161"/>
      <c r="C5" s="161"/>
      <c r="D5" s="161"/>
      <c r="E5" s="161"/>
      <c r="F5" s="161"/>
    </row>
    <row r="6" spans="1:6" x14ac:dyDescent="0.3">
      <c r="A6" s="161" t="s">
        <v>208</v>
      </c>
      <c r="B6" s="177" t="s">
        <v>209</v>
      </c>
      <c r="C6" s="177" t="s">
        <v>210</v>
      </c>
      <c r="D6" s="177" t="s">
        <v>211</v>
      </c>
      <c r="E6" s="177" t="s">
        <v>212</v>
      </c>
      <c r="F6" s="177" t="s">
        <v>213</v>
      </c>
    </row>
    <row r="7" spans="1:6" x14ac:dyDescent="0.3">
      <c r="A7" s="161" t="s">
        <v>207</v>
      </c>
      <c r="B7" s="161">
        <f>B3</f>
        <v>127</v>
      </c>
      <c r="C7" s="162">
        <v>80</v>
      </c>
      <c r="D7" s="162">
        <v>70</v>
      </c>
      <c r="E7" s="162">
        <v>2</v>
      </c>
      <c r="F7" s="162">
        <v>-1</v>
      </c>
    </row>
    <row r="8" spans="1:6" x14ac:dyDescent="0.3">
      <c r="A8" s="161" t="s">
        <v>202</v>
      </c>
      <c r="B8" s="161">
        <f>B4</f>
        <v>118</v>
      </c>
      <c r="C8" s="162">
        <v>9</v>
      </c>
      <c r="D8" s="162">
        <v>10</v>
      </c>
      <c r="E8" s="162">
        <v>-1</v>
      </c>
      <c r="F8" s="162">
        <v>2</v>
      </c>
    </row>
    <row r="9" spans="1:6" x14ac:dyDescent="0.3">
      <c r="A9" s="161"/>
      <c r="B9" s="161"/>
      <c r="C9" s="162"/>
      <c r="D9" s="162"/>
      <c r="E9" s="162"/>
      <c r="F9" s="162"/>
    </row>
    <row r="10" spans="1:6" x14ac:dyDescent="0.3">
      <c r="A10" s="161" t="s">
        <v>214</v>
      </c>
      <c r="B10" s="161">
        <f>E7*C7+F7*D7+E8*C8+F8*D8</f>
        <v>101</v>
      </c>
      <c r="C10" s="162"/>
      <c r="D10" s="162"/>
      <c r="E10" s="162"/>
      <c r="F10" s="162"/>
    </row>
    <row r="11" spans="1:6" x14ac:dyDescent="0.3">
      <c r="A11" s="161"/>
      <c r="B11" s="161"/>
      <c r="C11" s="161"/>
      <c r="D11" s="161"/>
      <c r="E11" s="161"/>
      <c r="F11" s="161"/>
    </row>
    <row r="12" spans="1:6" x14ac:dyDescent="0.3">
      <c r="A12" s="182" t="s">
        <v>119</v>
      </c>
      <c r="B12" s="181">
        <v>1</v>
      </c>
      <c r="C12" s="181">
        <v>2</v>
      </c>
      <c r="D12" s="181">
        <v>3</v>
      </c>
      <c r="E12" s="181">
        <v>4</v>
      </c>
      <c r="F12" s="161"/>
    </row>
    <row r="13" spans="1:6" x14ac:dyDescent="0.3">
      <c r="A13" s="161" t="s">
        <v>215</v>
      </c>
      <c r="B13" s="178">
        <f>C3</f>
        <v>200</v>
      </c>
      <c r="C13" s="178">
        <f>C3</f>
        <v>200</v>
      </c>
      <c r="D13" s="178">
        <f>D3</f>
        <v>10</v>
      </c>
      <c r="E13" s="161">
        <f>D3</f>
        <v>10</v>
      </c>
      <c r="F13" s="161"/>
    </row>
    <row r="14" spans="1:6" x14ac:dyDescent="0.3">
      <c r="A14" s="161" t="s">
        <v>216</v>
      </c>
      <c r="B14" s="178">
        <f>MAX($B$7-B$13,0)*$E$7</f>
        <v>0</v>
      </c>
      <c r="C14" s="178">
        <f t="shared" ref="C14:E14" si="0">MAX($B$7-C$13,0)*$E$7</f>
        <v>0</v>
      </c>
      <c r="D14" s="178">
        <f t="shared" si="0"/>
        <v>234</v>
      </c>
      <c r="E14" s="178">
        <f t="shared" si="0"/>
        <v>234</v>
      </c>
      <c r="F14" s="161"/>
    </row>
    <row r="15" spans="1:6" x14ac:dyDescent="0.3">
      <c r="A15" s="161" t="s">
        <v>217</v>
      </c>
      <c r="B15" s="161">
        <f>MAX(B13-$B$7,0)*$F$7</f>
        <v>-73</v>
      </c>
      <c r="C15" s="161">
        <f t="shared" ref="C15:E15" si="1">MAX(C13-$B$7,0)*$F$7</f>
        <v>-73</v>
      </c>
      <c r="D15" s="161">
        <f t="shared" si="1"/>
        <v>0</v>
      </c>
      <c r="E15" s="161">
        <f t="shared" si="1"/>
        <v>0</v>
      </c>
      <c r="F15" s="161"/>
    </row>
    <row r="16" spans="1:6" x14ac:dyDescent="0.3">
      <c r="A16" s="161" t="s">
        <v>218</v>
      </c>
      <c r="B16" s="161">
        <f>C4</f>
        <v>140</v>
      </c>
      <c r="C16" s="161">
        <f>D4</f>
        <v>100</v>
      </c>
      <c r="D16" s="161">
        <f>C4</f>
        <v>140</v>
      </c>
      <c r="E16" s="161">
        <f>D4</f>
        <v>100</v>
      </c>
      <c r="F16" s="161"/>
    </row>
    <row r="17" spans="1:6" x14ac:dyDescent="0.3">
      <c r="A17" s="161" t="s">
        <v>219</v>
      </c>
      <c r="B17" s="161">
        <f>MAX($B$8-B16,0)*$E$8</f>
        <v>0</v>
      </c>
      <c r="C17" s="161">
        <f t="shared" ref="C17:E17" si="2">MAX($B$8-C16,0)*$E$8</f>
        <v>-18</v>
      </c>
      <c r="D17" s="161">
        <f t="shared" si="2"/>
        <v>0</v>
      </c>
      <c r="E17" s="161">
        <f t="shared" si="2"/>
        <v>-18</v>
      </c>
      <c r="F17" s="161"/>
    </row>
    <row r="18" spans="1:6" x14ac:dyDescent="0.3">
      <c r="A18" s="161" t="s">
        <v>220</v>
      </c>
      <c r="B18" s="161">
        <f>MAX(B16-$B$8,0)*$F$8</f>
        <v>44</v>
      </c>
      <c r="C18" s="161">
        <f t="shared" ref="C18:E18" si="3">MAX(C16-$B$8,0)*$F$8</f>
        <v>0</v>
      </c>
      <c r="D18" s="161">
        <f t="shared" si="3"/>
        <v>44</v>
      </c>
      <c r="E18" s="161">
        <f t="shared" si="3"/>
        <v>0</v>
      </c>
      <c r="F18" s="161"/>
    </row>
    <row r="19" spans="1:6" x14ac:dyDescent="0.3">
      <c r="A19" s="161" t="s">
        <v>221</v>
      </c>
      <c r="B19" s="180">
        <f>-$B$10*(1+$B$1)</f>
        <v>-103.02</v>
      </c>
      <c r="C19" s="180">
        <f t="shared" ref="C19:E19" si="4">-$B$10*(1+$B$1)</f>
        <v>-103.02</v>
      </c>
      <c r="D19" s="180">
        <f t="shared" si="4"/>
        <v>-103.02</v>
      </c>
      <c r="E19" s="180">
        <f t="shared" si="4"/>
        <v>-103.02</v>
      </c>
      <c r="F19" s="161"/>
    </row>
    <row r="20" spans="1:6" x14ac:dyDescent="0.3">
      <c r="A20" s="161" t="s">
        <v>222</v>
      </c>
      <c r="B20" s="180">
        <f>SUM(B13:B19)</f>
        <v>207.98000000000002</v>
      </c>
      <c r="C20" s="180">
        <f t="shared" ref="C20:E20" si="5">SUM(C13:C19)</f>
        <v>105.98</v>
      </c>
      <c r="D20" s="180">
        <f t="shared" si="5"/>
        <v>324.98</v>
      </c>
      <c r="E20" s="180">
        <f t="shared" si="5"/>
        <v>222.98000000000002</v>
      </c>
      <c r="F20" s="161"/>
    </row>
    <row r="21" spans="1:6" x14ac:dyDescent="0.3">
      <c r="A21" s="161"/>
      <c r="B21" s="161"/>
      <c r="C21" s="161"/>
      <c r="D21" s="161"/>
      <c r="E21" s="161"/>
      <c r="F21" s="161"/>
    </row>
    <row r="22" spans="1:6" x14ac:dyDescent="0.3">
      <c r="A22" s="161" t="s">
        <v>223</v>
      </c>
      <c r="B22" s="180">
        <f>AVERAGE(B20:E20)</f>
        <v>215.48000000000002</v>
      </c>
      <c r="C22" s="161"/>
      <c r="D22" s="161"/>
      <c r="E22" s="161"/>
      <c r="F22" s="161"/>
    </row>
    <row r="28" spans="1:6" x14ac:dyDescent="0.3">
      <c r="A28" s="193" t="s">
        <v>342</v>
      </c>
    </row>
  </sheetData>
  <hyperlinks>
    <hyperlink ref="A28" location="Assumptions!A1" display="Jump to front" xr:uid="{8B70963C-AE4C-4143-B6C9-240E1BFC5DDC}"/>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E2183-C3F0-47CF-ACE2-910AD14CE7F3}">
  <sheetPr codeName="Sheet14"/>
  <dimension ref="B1:Y32"/>
  <sheetViews>
    <sheetView workbookViewId="0">
      <selection activeCell="C22" sqref="C22"/>
    </sheetView>
  </sheetViews>
  <sheetFormatPr defaultColWidth="9.109375" defaultRowHeight="13.8" x14ac:dyDescent="0.3"/>
  <cols>
    <col min="1" max="1" width="0.88671875" style="1" customWidth="1"/>
    <col min="2" max="2" width="40.21875" style="1" bestFit="1" customWidth="1"/>
    <col min="3" max="3" width="8.6640625" style="1" customWidth="1"/>
    <col min="4" max="4" width="1.6640625" style="1" customWidth="1"/>
    <col min="5" max="5" width="7.6640625" style="1" customWidth="1"/>
    <col min="6" max="6" width="1.6640625" style="1" customWidth="1"/>
    <col min="7" max="7" width="7.6640625" style="1" customWidth="1"/>
    <col min="8" max="8" width="2.6640625" style="1" customWidth="1"/>
    <col min="9" max="10" width="7.6640625" style="1" customWidth="1"/>
    <col min="11" max="11" width="2.6640625" style="1" customWidth="1"/>
    <col min="12" max="12" width="8.77734375" style="1" bestFit="1" customWidth="1"/>
    <col min="13" max="13" width="1.6640625" style="1" customWidth="1"/>
    <col min="14" max="14" width="7.6640625" style="1" customWidth="1"/>
    <col min="15" max="15" width="2.6640625" style="1" customWidth="1"/>
    <col min="16" max="16" width="7.6640625" style="1" customWidth="1"/>
    <col min="17" max="17" width="2.5546875" style="1" customWidth="1"/>
    <col min="18" max="18" width="7.6640625" style="1" customWidth="1"/>
    <col min="19" max="19" width="1.6640625" style="1" customWidth="1"/>
    <col min="20" max="20" width="7.6640625" style="1" customWidth="1"/>
    <col min="21" max="21" width="2.6640625" style="1" customWidth="1"/>
    <col min="22" max="22" width="7.6640625" style="1" customWidth="1"/>
    <col min="23" max="23" width="1.6640625" style="1" customWidth="1"/>
    <col min="24" max="24" width="7.6640625" style="1" customWidth="1"/>
    <col min="25" max="25" width="1.6640625" style="1" customWidth="1"/>
    <col min="26" max="16384" width="9.109375" style="1"/>
  </cols>
  <sheetData>
    <row r="1" spans="2:25" ht="4.95" customHeight="1" thickBot="1" x14ac:dyDescent="0.35"/>
    <row r="2" spans="2:25" x14ac:dyDescent="0.3">
      <c r="B2" s="3" t="s">
        <v>16</v>
      </c>
      <c r="C2" s="46">
        <v>25.74</v>
      </c>
      <c r="E2" s="3"/>
      <c r="F2" s="6"/>
      <c r="G2" s="6" t="s">
        <v>21</v>
      </c>
      <c r="H2" s="6"/>
      <c r="I2" s="6"/>
      <c r="J2" s="6" t="s">
        <v>5</v>
      </c>
      <c r="K2" s="6"/>
      <c r="L2" s="6"/>
      <c r="M2" s="6"/>
      <c r="N2" s="7" t="s">
        <v>6</v>
      </c>
      <c r="O2" s="6"/>
      <c r="P2" s="6"/>
      <c r="Q2" s="6"/>
      <c r="R2" s="6"/>
      <c r="S2" s="6"/>
      <c r="T2" s="6" t="s">
        <v>7</v>
      </c>
      <c r="U2" s="6"/>
      <c r="V2" s="6"/>
      <c r="W2" s="6"/>
      <c r="X2" s="6"/>
      <c r="Y2" s="8"/>
    </row>
    <row r="3" spans="2:25" x14ac:dyDescent="0.3">
      <c r="B3" s="4" t="s">
        <v>0</v>
      </c>
      <c r="C3" s="26">
        <v>17.13</v>
      </c>
      <c r="E3" s="4"/>
      <c r="L3" s="47">
        <f>I5/G7*I5</f>
        <v>77.973581973581972</v>
      </c>
      <c r="N3" s="16"/>
      <c r="R3" s="47">
        <f>MAX(L3-$C$3,0)</f>
        <v>60.843581973581976</v>
      </c>
      <c r="X3" s="47">
        <f>MAX($C$3-L3,0)</f>
        <v>0</v>
      </c>
      <c r="Y3" s="5"/>
    </row>
    <row r="4" spans="2:25" x14ac:dyDescent="0.3">
      <c r="B4" s="4" t="s">
        <v>1</v>
      </c>
      <c r="C4" s="26">
        <v>44.8</v>
      </c>
      <c r="E4" s="4"/>
      <c r="L4" s="17"/>
      <c r="N4" s="16"/>
      <c r="R4" s="17"/>
      <c r="X4" s="17"/>
      <c r="Y4" s="5"/>
    </row>
    <row r="5" spans="2:25" x14ac:dyDescent="0.3">
      <c r="B5" s="4" t="s">
        <v>2</v>
      </c>
      <c r="C5" s="26">
        <v>14.79</v>
      </c>
      <c r="E5" s="4"/>
      <c r="I5" s="47">
        <f>C4</f>
        <v>44.8</v>
      </c>
      <c r="J5" s="69">
        <f>(I7-I9)/(I5-I9)</f>
        <v>0.40776407864045328</v>
      </c>
      <c r="K5" s="2"/>
      <c r="L5" s="17"/>
      <c r="P5" s="47">
        <f>MAX(R5/(1+$C$6)^(R$13-P$13),I5-$C$3)</f>
        <v>28.485714285714291</v>
      </c>
      <c r="Q5" s="2"/>
      <c r="R5" s="49">
        <f>R3*$J$5+R7*$J$9</f>
        <v>29.910000000000007</v>
      </c>
      <c r="V5" s="47">
        <f>MAX(X5/(1+$C$6)^(X$13-V$13),$C$3-I5)</f>
        <v>0</v>
      </c>
      <c r="W5" s="2"/>
      <c r="X5" s="49">
        <f>X3*$J$5+X7*$J$9</f>
        <v>0</v>
      </c>
      <c r="Y5" s="5"/>
    </row>
    <row r="6" spans="2:25" x14ac:dyDescent="0.3">
      <c r="B6" s="4" t="s">
        <v>3</v>
      </c>
      <c r="C6" s="24">
        <v>0.05</v>
      </c>
      <c r="E6" s="4"/>
      <c r="I6" s="17"/>
      <c r="L6" s="17"/>
      <c r="P6" s="17"/>
      <c r="R6" s="17"/>
      <c r="V6" s="17"/>
      <c r="X6" s="17"/>
      <c r="Y6" s="5"/>
    </row>
    <row r="7" spans="2:25" x14ac:dyDescent="0.3">
      <c r="B7" s="4" t="s">
        <v>15</v>
      </c>
      <c r="C7" s="25">
        <v>1</v>
      </c>
      <c r="E7" s="4"/>
      <c r="G7" s="48">
        <f>C2</f>
        <v>25.74</v>
      </c>
      <c r="I7" s="49">
        <f>G7*(1+C6)^C7</f>
        <v>27.027000000000001</v>
      </c>
      <c r="K7" s="2"/>
      <c r="L7" s="47">
        <f>I5/G7*I9</f>
        <v>25.741724941724939</v>
      </c>
      <c r="N7" s="48">
        <f>MAX(P7/(1+$C$6)^P13,G7-$C$3)</f>
        <v>12.948653857059268</v>
      </c>
      <c r="O7" s="2"/>
      <c r="P7" s="49">
        <f>P5*$J$5+P9*$J$9</f>
        <v>13.596086549912233</v>
      </c>
      <c r="Q7" s="2"/>
      <c r="R7" s="47">
        <f>MAX(L7-$C$3,0)</f>
        <v>8.6117249417249404</v>
      </c>
      <c r="T7" s="48">
        <f>MAX(V7/(1+$C$6)^V13,C3-$G$7)</f>
        <v>2.7460688230456571</v>
      </c>
      <c r="U7" s="2"/>
      <c r="V7" s="49">
        <f>V5*$J$5+V9*$J$9</f>
        <v>2.88337226419794</v>
      </c>
      <c r="W7" s="2"/>
      <c r="X7" s="47">
        <f>MAX($C$3-L7,0)</f>
        <v>0</v>
      </c>
      <c r="Y7" s="5"/>
    </row>
    <row r="8" spans="2:25" ht="14.4" thickBot="1" x14ac:dyDescent="0.35">
      <c r="B8" s="4" t="s">
        <v>4</v>
      </c>
      <c r="C8" s="25">
        <v>2</v>
      </c>
      <c r="E8" s="4"/>
      <c r="I8" s="17"/>
      <c r="L8" s="17"/>
      <c r="P8" s="17"/>
      <c r="R8" s="17"/>
      <c r="V8" s="17"/>
      <c r="X8" s="17"/>
      <c r="Y8" s="5"/>
    </row>
    <row r="9" spans="2:25" x14ac:dyDescent="0.3">
      <c r="B9" s="10" t="s">
        <v>8</v>
      </c>
      <c r="C9" s="43">
        <f>N7</f>
        <v>12.948653857059268</v>
      </c>
      <c r="E9" s="4"/>
      <c r="I9" s="47">
        <f>C5</f>
        <v>14.79</v>
      </c>
      <c r="J9" s="69">
        <f>1-J5</f>
        <v>0.59223592135954672</v>
      </c>
      <c r="K9" s="2"/>
      <c r="L9" s="17"/>
      <c r="P9" s="47">
        <f>MAX(R9/(1+$C$6)^(R$13-P$13),I9-$C$3)</f>
        <v>3.3443353203499822</v>
      </c>
      <c r="Q9" s="2"/>
      <c r="R9" s="49">
        <f>R7*$J$5+R11*$J$9</f>
        <v>3.5115520863674816</v>
      </c>
      <c r="V9" s="47">
        <f>MAX(X9/(1+$C$6)^(X$13-V$13),$C$3-I9)</f>
        <v>4.8686210346356944</v>
      </c>
      <c r="W9" s="2"/>
      <c r="X9" s="49">
        <f>X7*$J$5+X11*$J$9</f>
        <v>5.1120520863674797</v>
      </c>
      <c r="Y9" s="5"/>
    </row>
    <row r="10" spans="2:25" x14ac:dyDescent="0.3">
      <c r="B10" s="11" t="s">
        <v>11</v>
      </c>
      <c r="C10" s="44">
        <f>MAX(C2-C3,0)</f>
        <v>8.61</v>
      </c>
      <c r="E10" s="4"/>
      <c r="I10" s="2"/>
      <c r="J10" s="15"/>
      <c r="K10" s="2"/>
      <c r="L10" s="17"/>
      <c r="P10" s="2"/>
      <c r="Q10" s="2"/>
      <c r="R10" s="17"/>
      <c r="V10" s="2"/>
      <c r="W10" s="2"/>
      <c r="X10" s="17"/>
      <c r="Y10" s="5"/>
    </row>
    <row r="11" spans="2:25" ht="14.4" thickBot="1" x14ac:dyDescent="0.35">
      <c r="B11" s="12" t="s">
        <v>12</v>
      </c>
      <c r="C11" s="45">
        <f>C9-C10</f>
        <v>4.3386538570592688</v>
      </c>
      <c r="E11" s="4"/>
      <c r="I11" s="2"/>
      <c r="J11" s="15"/>
      <c r="K11" s="2"/>
      <c r="L11" s="47">
        <f>I9/G7*I9</f>
        <v>8.4982167832167832</v>
      </c>
      <c r="P11" s="2"/>
      <c r="Q11" s="2"/>
      <c r="R11" s="47">
        <f>MAX(L11-$C$3,0)</f>
        <v>0</v>
      </c>
      <c r="V11" s="2"/>
      <c r="W11" s="2"/>
      <c r="X11" s="47">
        <f>MAX($C$3-L11,0)</f>
        <v>8.6317832167832158</v>
      </c>
      <c r="Y11" s="5"/>
    </row>
    <row r="12" spans="2:25" x14ac:dyDescent="0.3">
      <c r="B12" s="11" t="s">
        <v>9</v>
      </c>
      <c r="C12" s="44">
        <f>T7</f>
        <v>2.7460688230456571</v>
      </c>
      <c r="E12" s="4"/>
      <c r="Y12" s="5"/>
    </row>
    <row r="13" spans="2:25" ht="14.4" thickBot="1" x14ac:dyDescent="0.35">
      <c r="B13" s="11" t="s">
        <v>13</v>
      </c>
      <c r="C13" s="44">
        <f>MAX(C3-C2,0)</f>
        <v>0</v>
      </c>
      <c r="E13" s="22" t="s">
        <v>10</v>
      </c>
      <c r="F13" s="18"/>
      <c r="G13" s="19">
        <v>0</v>
      </c>
      <c r="H13" s="20"/>
      <c r="I13" s="19">
        <f>G13+$C$7</f>
        <v>1</v>
      </c>
      <c r="J13" s="21"/>
      <c r="K13" s="19"/>
      <c r="L13" s="19">
        <f>I13+$C$7</f>
        <v>2</v>
      </c>
      <c r="M13" s="21"/>
      <c r="N13" s="21">
        <f>G13</f>
        <v>0</v>
      </c>
      <c r="O13" s="21"/>
      <c r="P13" s="21">
        <f>N13+$C$7</f>
        <v>1</v>
      </c>
      <c r="Q13" s="21"/>
      <c r="R13" s="21">
        <f>P13+$C$7</f>
        <v>2</v>
      </c>
      <c r="S13" s="21"/>
      <c r="T13" s="21">
        <f>G13</f>
        <v>0</v>
      </c>
      <c r="U13" s="21"/>
      <c r="V13" s="21">
        <f>T13+$C$7</f>
        <v>1</v>
      </c>
      <c r="W13" s="21"/>
      <c r="X13" s="21">
        <f>V13+$C$7</f>
        <v>2</v>
      </c>
      <c r="Y13" s="9"/>
    </row>
    <row r="14" spans="2:25" ht="14.4" thickBot="1" x14ac:dyDescent="0.35">
      <c r="B14" s="12" t="s">
        <v>14</v>
      </c>
      <c r="C14" s="45">
        <f>C12-C13</f>
        <v>2.7460688230456571</v>
      </c>
      <c r="N14" s="17"/>
    </row>
    <row r="15" spans="2:25" x14ac:dyDescent="0.3">
      <c r="I15" s="13"/>
      <c r="J15" s="17"/>
      <c r="K15" s="13"/>
      <c r="L15" s="13"/>
      <c r="N15" s="17"/>
      <c r="P15" s="13"/>
      <c r="R15" s="17"/>
      <c r="X15" s="2"/>
    </row>
    <row r="16" spans="2:25" x14ac:dyDescent="0.3">
      <c r="B16" s="1" t="s">
        <v>182</v>
      </c>
      <c r="C16" s="160">
        <v>0.45</v>
      </c>
      <c r="I16" s="13"/>
      <c r="J16" s="17"/>
      <c r="K16" s="13"/>
      <c r="L16" s="13"/>
      <c r="N16" s="17"/>
      <c r="P16" s="13"/>
      <c r="R16" s="17"/>
      <c r="X16" s="2"/>
    </row>
    <row r="17" spans="2:24" x14ac:dyDescent="0.3">
      <c r="B17" s="1" t="s">
        <v>93</v>
      </c>
      <c r="C17" s="160">
        <f>1-C16</f>
        <v>0.55000000000000004</v>
      </c>
      <c r="I17" s="13"/>
      <c r="J17" s="17"/>
      <c r="K17" s="13"/>
      <c r="L17" s="13"/>
      <c r="N17" s="17"/>
      <c r="P17" s="13"/>
      <c r="R17" s="17"/>
      <c r="X17" s="2"/>
    </row>
    <row r="18" spans="2:24" x14ac:dyDescent="0.3">
      <c r="C18" s="23"/>
      <c r="N18" s="17"/>
      <c r="P18" s="17"/>
      <c r="R18" s="17"/>
    </row>
    <row r="19" spans="2:24" x14ac:dyDescent="0.3">
      <c r="B19" s="1" t="s">
        <v>285</v>
      </c>
      <c r="C19" s="129">
        <f>X11</f>
        <v>8.6317832167832158</v>
      </c>
      <c r="J19" s="17"/>
      <c r="L19" s="14"/>
      <c r="N19" s="17"/>
      <c r="P19" s="14"/>
      <c r="R19" s="17"/>
    </row>
    <row r="20" spans="2:24" x14ac:dyDescent="0.3">
      <c r="B20" s="1" t="s">
        <v>286</v>
      </c>
      <c r="C20" s="13">
        <f>T7</f>
        <v>2.7460688230456571</v>
      </c>
      <c r="N20" s="13"/>
    </row>
    <row r="21" spans="2:24" x14ac:dyDescent="0.3">
      <c r="B21" s="1" t="s">
        <v>287</v>
      </c>
      <c r="C21" s="13">
        <f>T7-'Vornado European'!T7</f>
        <v>0</v>
      </c>
      <c r="I21" s="14"/>
    </row>
    <row r="29" spans="2:24" x14ac:dyDescent="0.3">
      <c r="B29" s="153" t="s">
        <v>184</v>
      </c>
    </row>
    <row r="32" spans="2:24" x14ac:dyDescent="0.3">
      <c r="B32" s="193" t="s">
        <v>342</v>
      </c>
    </row>
  </sheetData>
  <hyperlinks>
    <hyperlink ref="B32" location="Assumptions!A1" display="Jump to front" xr:uid="{7A75D90D-930B-41A1-91E3-8ADD2A718B8C}"/>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15272-BFA1-4D79-A4AE-07F291DC71B3}">
  <sheetPr codeName="Sheet15"/>
  <dimension ref="B1:Y29"/>
  <sheetViews>
    <sheetView workbookViewId="0">
      <selection activeCell="J19" sqref="J19"/>
    </sheetView>
  </sheetViews>
  <sheetFormatPr defaultColWidth="9.109375" defaultRowHeight="13.8" x14ac:dyDescent="0.3"/>
  <cols>
    <col min="1" max="1" width="0.88671875" style="1" customWidth="1"/>
    <col min="2" max="2" width="40.21875" style="1" bestFit="1" customWidth="1"/>
    <col min="3" max="3" width="8.6640625" style="1" customWidth="1"/>
    <col min="4" max="4" width="1.6640625" style="1" customWidth="1"/>
    <col min="5" max="5" width="7.6640625" style="1" customWidth="1"/>
    <col min="6" max="6" width="1.6640625" style="1" customWidth="1"/>
    <col min="7" max="7" width="7.6640625" style="1" customWidth="1"/>
    <col min="8" max="8" width="2.6640625" style="1" customWidth="1"/>
    <col min="9" max="10" width="7.6640625" style="1" customWidth="1"/>
    <col min="11" max="11" width="2.6640625" style="1" customWidth="1"/>
    <col min="12" max="12" width="8.77734375" style="1" bestFit="1" customWidth="1"/>
    <col min="13" max="13" width="1.6640625" style="1" customWidth="1"/>
    <col min="14" max="14" width="7.6640625" style="1" customWidth="1"/>
    <col min="15" max="15" width="2.6640625" style="1" customWidth="1"/>
    <col min="16" max="16" width="7.6640625" style="1" customWidth="1"/>
    <col min="17" max="17" width="2.6640625" style="1" customWidth="1"/>
    <col min="18" max="18" width="7.6640625" style="1" customWidth="1"/>
    <col min="19" max="19" width="1.6640625" style="1" customWidth="1"/>
    <col min="20" max="20" width="7.6640625" style="1" customWidth="1"/>
    <col min="21" max="21" width="2.6640625" style="1" customWidth="1"/>
    <col min="22" max="22" width="7.6640625" style="1" customWidth="1"/>
    <col min="23" max="23" width="1.6640625" style="1" customWidth="1"/>
    <col min="24" max="24" width="7.6640625" style="1" customWidth="1"/>
    <col min="25" max="25" width="1.6640625" style="1" customWidth="1"/>
    <col min="26" max="16384" width="9.109375" style="1"/>
  </cols>
  <sheetData>
    <row r="1" spans="2:25" ht="4.95" customHeight="1" thickBot="1" x14ac:dyDescent="0.35"/>
    <row r="2" spans="2:25" x14ac:dyDescent="0.3">
      <c r="B2" s="3" t="s">
        <v>16</v>
      </c>
      <c r="C2" s="51">
        <v>25.74</v>
      </c>
      <c r="E2" s="3"/>
      <c r="F2" s="6"/>
      <c r="G2" s="6" t="s">
        <v>21</v>
      </c>
      <c r="H2" s="6"/>
      <c r="I2" s="6"/>
      <c r="J2" s="6" t="s">
        <v>5</v>
      </c>
      <c r="K2" s="6"/>
      <c r="L2" s="6"/>
      <c r="M2" s="6"/>
      <c r="N2" s="7" t="s">
        <v>6</v>
      </c>
      <c r="O2" s="6"/>
      <c r="P2" s="6"/>
      <c r="Q2" s="6"/>
      <c r="R2" s="6"/>
      <c r="S2" s="6"/>
      <c r="T2" s="6" t="s">
        <v>7</v>
      </c>
      <c r="U2" s="6"/>
      <c r="V2" s="6"/>
      <c r="W2" s="6"/>
      <c r="X2" s="6"/>
      <c r="Y2" s="8"/>
    </row>
    <row r="3" spans="2:25" x14ac:dyDescent="0.3">
      <c r="B3" s="4" t="s">
        <v>0</v>
      </c>
      <c r="C3" s="36">
        <v>17.13</v>
      </c>
      <c r="E3" s="4"/>
      <c r="L3" s="41">
        <f>I5/G7*I5</f>
        <v>77.973581973581972</v>
      </c>
      <c r="N3" s="16"/>
      <c r="R3" s="41">
        <f>MAX(L3-$C$3,0)</f>
        <v>60.843581973581976</v>
      </c>
      <c r="X3" s="41">
        <f>MAX($C$3-L3,0)</f>
        <v>0</v>
      </c>
      <c r="Y3" s="5"/>
    </row>
    <row r="4" spans="2:25" x14ac:dyDescent="0.3">
      <c r="B4" s="4" t="s">
        <v>1</v>
      </c>
      <c r="C4" s="36">
        <v>44.8</v>
      </c>
      <c r="E4" s="4"/>
      <c r="N4" s="16"/>
      <c r="Y4" s="5"/>
    </row>
    <row r="5" spans="2:25" x14ac:dyDescent="0.3">
      <c r="B5" s="4" t="s">
        <v>2</v>
      </c>
      <c r="C5" s="36">
        <v>14.79</v>
      </c>
      <c r="E5" s="4"/>
      <c r="I5" s="41">
        <f>C4</f>
        <v>44.8</v>
      </c>
      <c r="J5" s="69">
        <f>(I7-I9)/(I5-I9)</f>
        <v>0.40776407864045328</v>
      </c>
      <c r="K5" s="2"/>
      <c r="P5" s="41">
        <f>R5/(1+$C$6)^(R$13-P$13)</f>
        <v>28.485714285714291</v>
      </c>
      <c r="Q5" s="2"/>
      <c r="R5" s="42">
        <f>R3*$J$5+R7*$J$9</f>
        <v>29.910000000000007</v>
      </c>
      <c r="V5" s="41">
        <f>X5/(1+$C$6)^(X$13-V$13)</f>
        <v>0</v>
      </c>
      <c r="W5" s="2"/>
      <c r="X5" s="42">
        <f>X3*$J$5+X7*$J$9</f>
        <v>0</v>
      </c>
      <c r="Y5" s="5"/>
    </row>
    <row r="6" spans="2:25" x14ac:dyDescent="0.3">
      <c r="B6" s="4" t="s">
        <v>3</v>
      </c>
      <c r="C6" s="24">
        <v>0.05</v>
      </c>
      <c r="E6" s="4"/>
      <c r="Y6" s="5"/>
    </row>
    <row r="7" spans="2:25" x14ac:dyDescent="0.3">
      <c r="B7" s="4" t="s">
        <v>15</v>
      </c>
      <c r="C7" s="25">
        <v>1</v>
      </c>
      <c r="E7" s="4"/>
      <c r="G7" s="40">
        <f>C2</f>
        <v>25.74</v>
      </c>
      <c r="I7" s="49">
        <f>G7*(1+C6)^C7</f>
        <v>27.027000000000001</v>
      </c>
      <c r="K7" s="2"/>
      <c r="L7" s="41">
        <f>I5/G7*I9</f>
        <v>25.741724941724939</v>
      </c>
      <c r="N7" s="40">
        <f>P7/(1+$C$6)^P13</f>
        <v>12.948653857059268</v>
      </c>
      <c r="O7" s="2"/>
      <c r="P7" s="42">
        <f>P5*$J$5+P9*$J$9</f>
        <v>13.596086549912233</v>
      </c>
      <c r="Q7" s="2"/>
      <c r="R7" s="41">
        <f>MAX(L7-$C$3,0)</f>
        <v>8.6117249417249404</v>
      </c>
      <c r="T7" s="40">
        <f>V7/(1+$C$6)^V13</f>
        <v>2.7460688230456571</v>
      </c>
      <c r="U7" s="2"/>
      <c r="V7" s="42">
        <f>V5*$J$5+V9*$J$9</f>
        <v>2.88337226419794</v>
      </c>
      <c r="W7" s="2"/>
      <c r="X7" s="41">
        <f>MAX($C$3-L7,0)</f>
        <v>0</v>
      </c>
      <c r="Y7" s="5"/>
    </row>
    <row r="8" spans="2:25" ht="14.4" thickBot="1" x14ac:dyDescent="0.35">
      <c r="B8" s="4" t="s">
        <v>4</v>
      </c>
      <c r="C8" s="25">
        <f>Assumptions!B4</f>
        <v>0.5</v>
      </c>
      <c r="E8" s="4"/>
      <c r="Y8" s="5"/>
    </row>
    <row r="9" spans="2:25" x14ac:dyDescent="0.3">
      <c r="B9" s="10" t="s">
        <v>8</v>
      </c>
      <c r="C9" s="37">
        <f>N7</f>
        <v>12.948653857059268</v>
      </c>
      <c r="E9" s="4"/>
      <c r="I9" s="41">
        <f>C5</f>
        <v>14.79</v>
      </c>
      <c r="J9" s="69">
        <f>1-J5</f>
        <v>0.59223592135954672</v>
      </c>
      <c r="K9" s="2"/>
      <c r="L9" s="2"/>
      <c r="P9" s="41">
        <f>R9/(1+$C$6)^(R$13-P$13)</f>
        <v>3.3443353203499822</v>
      </c>
      <c r="Q9" s="2"/>
      <c r="R9" s="42">
        <f>R7*$J$5+R11*$J$9</f>
        <v>3.5115520863674816</v>
      </c>
      <c r="V9" s="41">
        <f>X9/(1+$C$6)^(X$13-V$13)</f>
        <v>4.8686210346356944</v>
      </c>
      <c r="W9" s="2"/>
      <c r="X9" s="42">
        <f>X7*$J$5+X11*$J$9</f>
        <v>5.1120520863674797</v>
      </c>
      <c r="Y9" s="5"/>
    </row>
    <row r="10" spans="2:25" x14ac:dyDescent="0.3">
      <c r="B10" s="11" t="s">
        <v>11</v>
      </c>
      <c r="C10" s="38">
        <f>MAX(C2-C3,0)</f>
        <v>8.61</v>
      </c>
      <c r="E10" s="4"/>
      <c r="I10" s="2"/>
      <c r="J10" s="15"/>
      <c r="K10" s="2"/>
      <c r="L10" s="2"/>
      <c r="P10" s="2"/>
      <c r="Q10" s="2"/>
      <c r="R10" s="2"/>
      <c r="V10" s="2"/>
      <c r="W10" s="2"/>
      <c r="X10" s="2"/>
      <c r="Y10" s="5"/>
    </row>
    <row r="11" spans="2:25" ht="14.4" thickBot="1" x14ac:dyDescent="0.35">
      <c r="B11" s="12" t="s">
        <v>12</v>
      </c>
      <c r="C11" s="39">
        <f>C9-C10</f>
        <v>4.3386538570592688</v>
      </c>
      <c r="E11" s="4"/>
      <c r="I11" s="2"/>
      <c r="J11" s="15"/>
      <c r="K11" s="2"/>
      <c r="L11" s="41">
        <f>I9/G7*I9</f>
        <v>8.4982167832167832</v>
      </c>
      <c r="P11" s="2"/>
      <c r="Q11" s="2"/>
      <c r="R11" s="41">
        <f>MAX(L11-$C$3,0)</f>
        <v>0</v>
      </c>
      <c r="V11" s="2"/>
      <c r="W11" s="2"/>
      <c r="X11" s="41">
        <f>MAX($C$3-L11,0)</f>
        <v>8.6317832167832158</v>
      </c>
      <c r="Y11" s="5"/>
    </row>
    <row r="12" spans="2:25" x14ac:dyDescent="0.3">
      <c r="B12" s="11" t="s">
        <v>9</v>
      </c>
      <c r="C12" s="38">
        <f>T7</f>
        <v>2.7460688230456571</v>
      </c>
      <c r="E12" s="4"/>
      <c r="Y12" s="5"/>
    </row>
    <row r="13" spans="2:25" ht="14.4" thickBot="1" x14ac:dyDescent="0.35">
      <c r="B13" s="11" t="s">
        <v>13</v>
      </c>
      <c r="C13" s="38">
        <f>MAX(C3-C2,0)</f>
        <v>0</v>
      </c>
      <c r="E13" s="22" t="s">
        <v>10</v>
      </c>
      <c r="F13" s="18"/>
      <c r="G13" s="19">
        <v>0</v>
      </c>
      <c r="H13" s="20"/>
      <c r="I13" s="19">
        <f>G13+$C$7</f>
        <v>1</v>
      </c>
      <c r="J13" s="21"/>
      <c r="K13" s="19"/>
      <c r="L13" s="19">
        <f>I13+$C$7</f>
        <v>2</v>
      </c>
      <c r="M13" s="21"/>
      <c r="N13" s="21">
        <f>G13</f>
        <v>0</v>
      </c>
      <c r="O13" s="21"/>
      <c r="P13" s="21">
        <f>N13+$C$7</f>
        <v>1</v>
      </c>
      <c r="Q13" s="21"/>
      <c r="R13" s="21">
        <f>P13+$C$7</f>
        <v>2</v>
      </c>
      <c r="S13" s="21"/>
      <c r="T13" s="21">
        <f>G13</f>
        <v>0</v>
      </c>
      <c r="U13" s="21"/>
      <c r="V13" s="21">
        <f>T13+$C$7</f>
        <v>1</v>
      </c>
      <c r="W13" s="21"/>
      <c r="X13" s="21">
        <f>V13+$C$7</f>
        <v>2</v>
      </c>
      <c r="Y13" s="9"/>
    </row>
    <row r="14" spans="2:25" ht="14.4" thickBot="1" x14ac:dyDescent="0.35">
      <c r="B14" s="12" t="s">
        <v>14</v>
      </c>
      <c r="C14" s="39">
        <f>C12-C13</f>
        <v>2.7460688230456571</v>
      </c>
      <c r="N14" s="17"/>
    </row>
    <row r="15" spans="2:25" x14ac:dyDescent="0.3">
      <c r="I15" s="13"/>
      <c r="J15" s="17"/>
      <c r="K15" s="13"/>
      <c r="L15" s="13"/>
      <c r="N15" s="17"/>
      <c r="P15" s="13"/>
      <c r="R15" s="17"/>
      <c r="X15" s="2"/>
    </row>
    <row r="16" spans="2:25" x14ac:dyDescent="0.3">
      <c r="B16" s="1" t="s">
        <v>17</v>
      </c>
      <c r="C16" s="23">
        <f>C17/SQRT(12)</f>
        <v>2.8163146131069943E-2</v>
      </c>
      <c r="N16" s="17"/>
      <c r="P16" s="17"/>
      <c r="R16" s="17"/>
    </row>
    <row r="17" spans="2:18" x14ac:dyDescent="0.3">
      <c r="B17" s="1" t="s">
        <v>18</v>
      </c>
      <c r="C17" s="23">
        <f>Assumptions!B1</f>
        <v>9.7559999999999994E-2</v>
      </c>
      <c r="J17" s="17"/>
      <c r="L17" s="14"/>
      <c r="N17" s="17"/>
      <c r="P17" s="14"/>
      <c r="R17" s="17"/>
    </row>
    <row r="18" spans="2:18" x14ac:dyDescent="0.3">
      <c r="B18" s="1" t="s">
        <v>19</v>
      </c>
      <c r="C18" s="13">
        <f>EXP(C17*SQRT(C7))</f>
        <v>1.1024775882342002</v>
      </c>
      <c r="N18" s="13"/>
    </row>
    <row r="19" spans="2:18" x14ac:dyDescent="0.3">
      <c r="B19" s="1" t="s">
        <v>20</v>
      </c>
      <c r="C19" s="13">
        <f>1/C18</f>
        <v>0.90704791704805998</v>
      </c>
      <c r="I19" s="14"/>
    </row>
    <row r="21" spans="2:18" x14ac:dyDescent="0.3">
      <c r="C21" s="13"/>
    </row>
    <row r="24" spans="2:18" x14ac:dyDescent="0.3">
      <c r="B24" s="153" t="s">
        <v>162</v>
      </c>
    </row>
    <row r="29" spans="2:18" x14ac:dyDescent="0.3">
      <c r="B29" s="193" t="s">
        <v>342</v>
      </c>
    </row>
  </sheetData>
  <hyperlinks>
    <hyperlink ref="B29" location="Assumptions!A1" display="Jump to front" xr:uid="{74A88FA0-7DCE-442C-AE48-E2606772B72E}"/>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B4DE7-EE49-48F2-9565-6E1F13DADCE0}">
  <sheetPr codeName="Sheet16"/>
  <dimension ref="B1:K264"/>
  <sheetViews>
    <sheetView topLeftCell="B63" workbookViewId="0">
      <selection activeCell="B83" sqref="B83"/>
    </sheetView>
  </sheetViews>
  <sheetFormatPr defaultColWidth="9.109375" defaultRowHeight="13.8" x14ac:dyDescent="0.3"/>
  <cols>
    <col min="1" max="1" width="0.44140625" style="1" customWidth="1"/>
    <col min="2" max="2" width="32.44140625" style="1" bestFit="1" customWidth="1"/>
    <col min="3" max="6" width="9.109375" style="1"/>
    <col min="7" max="7" width="11.109375" style="1" customWidth="1"/>
    <col min="8" max="16384" width="9.109375" style="1"/>
  </cols>
  <sheetData>
    <row r="1" spans="2:11" ht="7.5" customHeight="1" thickBot="1" x14ac:dyDescent="0.35"/>
    <row r="2" spans="2:11" x14ac:dyDescent="0.3">
      <c r="B2" s="29" t="s">
        <v>16</v>
      </c>
      <c r="C2" s="50">
        <v>22.5</v>
      </c>
      <c r="G2" s="130" t="s">
        <v>102</v>
      </c>
      <c r="H2" s="131" t="s">
        <v>103</v>
      </c>
      <c r="I2" s="132" t="s">
        <v>104</v>
      </c>
    </row>
    <row r="3" spans="2:11" x14ac:dyDescent="0.3">
      <c r="B3" s="30" t="s">
        <v>0</v>
      </c>
      <c r="C3" s="52">
        <v>26.59</v>
      </c>
      <c r="E3" s="1" t="s">
        <v>105</v>
      </c>
      <c r="F3" s="1">
        <v>261</v>
      </c>
      <c r="G3" s="133">
        <v>44977</v>
      </c>
      <c r="H3" s="134">
        <v>30.31</v>
      </c>
      <c r="I3" s="132"/>
      <c r="K3" s="1" t="s">
        <v>271</v>
      </c>
    </row>
    <row r="4" spans="2:11" x14ac:dyDescent="0.3">
      <c r="B4" s="30" t="s">
        <v>22</v>
      </c>
      <c r="C4" s="27">
        <v>0.05</v>
      </c>
      <c r="E4" s="1" t="s">
        <v>272</v>
      </c>
      <c r="F4" s="23">
        <f>K4*SQRT(F3)</f>
        <v>0.36808229691797051</v>
      </c>
      <c r="G4" s="133">
        <v>44978</v>
      </c>
      <c r="H4" s="134">
        <v>29.52</v>
      </c>
      <c r="I4" s="132">
        <f>LN(H4/H3)</f>
        <v>-2.6409691337439985E-2</v>
      </c>
      <c r="K4" s="1">
        <f>_xlfn.STDEV.S(I4:I264)</f>
        <v>2.2783722201056185E-2</v>
      </c>
    </row>
    <row r="5" spans="2:11" x14ac:dyDescent="0.3">
      <c r="B5" s="30" t="s">
        <v>23</v>
      </c>
      <c r="C5" s="27">
        <v>0.05</v>
      </c>
      <c r="G5" s="133">
        <v>44979</v>
      </c>
      <c r="H5" s="134">
        <v>29.53</v>
      </c>
      <c r="I5" s="132">
        <f>LN(H5/H4)</f>
        <v>3.3869602355954189E-4</v>
      </c>
    </row>
    <row r="6" spans="2:11" ht="14.4" thickBot="1" x14ac:dyDescent="0.35">
      <c r="B6" s="30" t="s">
        <v>4</v>
      </c>
      <c r="C6" s="31">
        <f>Assumptions!B4</f>
        <v>0.5</v>
      </c>
      <c r="G6" s="133">
        <v>44980</v>
      </c>
      <c r="H6" s="134">
        <v>29.54</v>
      </c>
      <c r="I6" s="132">
        <f t="shared" ref="I6:I69" si="0">LN(H6/H5)</f>
        <v>3.3858134740239994E-4</v>
      </c>
    </row>
    <row r="7" spans="2:11" x14ac:dyDescent="0.3">
      <c r="B7" s="32" t="s">
        <v>24</v>
      </c>
      <c r="C7" s="53">
        <f>C2*C16-C3*EXP(-C4*C6)*C17</f>
        <v>1.1521811803081938</v>
      </c>
      <c r="E7" s="17"/>
      <c r="F7" s="17"/>
      <c r="G7" s="133">
        <v>44981</v>
      </c>
      <c r="H7" s="134">
        <v>29.37</v>
      </c>
      <c r="I7" s="132">
        <f t="shared" si="0"/>
        <v>-5.7715318927050088E-3</v>
      </c>
    </row>
    <row r="8" spans="2:11" x14ac:dyDescent="0.3">
      <c r="B8" s="30" t="s">
        <v>11</v>
      </c>
      <c r="C8" s="52">
        <f>MAX(C2-C3,0)</f>
        <v>0</v>
      </c>
      <c r="E8" s="58"/>
      <c r="F8" s="58"/>
      <c r="G8" s="133">
        <v>44984</v>
      </c>
      <c r="H8" s="134">
        <v>29.34</v>
      </c>
      <c r="I8" s="132">
        <f t="shared" si="0"/>
        <v>-1.0219724956930802E-3</v>
      </c>
    </row>
    <row r="9" spans="2:11" ht="14.4" thickBot="1" x14ac:dyDescent="0.35">
      <c r="B9" s="33" t="s">
        <v>12</v>
      </c>
      <c r="C9" s="54">
        <f>C7-C8</f>
        <v>1.1521811803081938</v>
      </c>
      <c r="E9" s="58"/>
      <c r="F9" s="58"/>
      <c r="G9" s="133">
        <v>44985</v>
      </c>
      <c r="H9" s="134">
        <v>29.06</v>
      </c>
      <c r="I9" s="132">
        <f t="shared" si="0"/>
        <v>-9.5891145726988824E-3</v>
      </c>
    </row>
    <row r="10" spans="2:11" x14ac:dyDescent="0.3">
      <c r="B10" s="32" t="s">
        <v>25</v>
      </c>
      <c r="C10" s="53">
        <f>C3*EXP(-C4*C6)*C19-C2*C18</f>
        <v>4.5856717411415584</v>
      </c>
      <c r="G10" s="133">
        <v>44986</v>
      </c>
      <c r="H10" s="134">
        <v>29.14</v>
      </c>
      <c r="I10" s="132">
        <f t="shared" si="0"/>
        <v>2.7491426249219349E-3</v>
      </c>
    </row>
    <row r="11" spans="2:11" x14ac:dyDescent="0.3">
      <c r="B11" s="30" t="s">
        <v>13</v>
      </c>
      <c r="C11" s="52">
        <f>MAX(C3-C2,0)</f>
        <v>4.09</v>
      </c>
      <c r="G11" s="133">
        <v>44987</v>
      </c>
      <c r="H11" s="134">
        <v>28.58</v>
      </c>
      <c r="I11" s="132">
        <f t="shared" si="0"/>
        <v>-1.940462826533746E-2</v>
      </c>
    </row>
    <row r="12" spans="2:11" ht="14.4" thickBot="1" x14ac:dyDescent="0.35">
      <c r="B12" s="33" t="s">
        <v>14</v>
      </c>
      <c r="C12" s="54">
        <f>C10-C11</f>
        <v>0.49567174114155854</v>
      </c>
      <c r="G12" s="133">
        <v>44988</v>
      </c>
      <c r="H12" s="134">
        <v>28.67</v>
      </c>
      <c r="I12" s="132">
        <f t="shared" si="0"/>
        <v>3.1441073935571692E-3</v>
      </c>
    </row>
    <row r="13" spans="2:11" x14ac:dyDescent="0.3">
      <c r="B13" s="32" t="s">
        <v>26</v>
      </c>
      <c r="C13" s="28">
        <f>F4</f>
        <v>0.36808229691797051</v>
      </c>
      <c r="G13" s="133">
        <v>44991</v>
      </c>
      <c r="H13" s="134">
        <v>28.13</v>
      </c>
      <c r="I13" s="132">
        <f t="shared" si="0"/>
        <v>-1.9014657393513067E-2</v>
      </c>
    </row>
    <row r="14" spans="2:11" x14ac:dyDescent="0.3">
      <c r="B14" s="30" t="s">
        <v>27</v>
      </c>
      <c r="C14" s="34">
        <f>(LN(C2/C3)+(C4+C13^2/2)*C6)/(C13*SQRT(C6))</f>
        <v>-0.41551966153927766</v>
      </c>
      <c r="G14" s="133">
        <v>44992</v>
      </c>
      <c r="H14" s="134">
        <v>27.45</v>
      </c>
      <c r="I14" s="132">
        <f t="shared" si="0"/>
        <v>-2.4470454546225838E-2</v>
      </c>
    </row>
    <row r="15" spans="2:11" x14ac:dyDescent="0.3">
      <c r="B15" s="30" t="s">
        <v>28</v>
      </c>
      <c r="C15" s="34">
        <f>C14-C13*SQRT(C6)</f>
        <v>-0.67579314972469484</v>
      </c>
      <c r="G15" s="133">
        <v>44993</v>
      </c>
      <c r="H15" s="134">
        <v>27.57</v>
      </c>
      <c r="I15" s="132">
        <f t="shared" si="0"/>
        <v>4.3620570801658279E-3</v>
      </c>
    </row>
    <row r="16" spans="2:11" x14ac:dyDescent="0.3">
      <c r="B16" s="30" t="s">
        <v>29</v>
      </c>
      <c r="C16" s="34">
        <f>NORMSDIST(C14)</f>
        <v>0.33888076246806209</v>
      </c>
      <c r="G16" s="133">
        <v>44994</v>
      </c>
      <c r="H16" s="134">
        <v>26</v>
      </c>
      <c r="I16" s="132">
        <f t="shared" si="0"/>
        <v>-5.8631687014223305E-2</v>
      </c>
    </row>
    <row r="17" spans="2:9" x14ac:dyDescent="0.3">
      <c r="B17" s="30" t="s">
        <v>30</v>
      </c>
      <c r="C17" s="34">
        <f>NORMSDIST(C15)</f>
        <v>0.24958599229209227</v>
      </c>
      <c r="G17" s="133">
        <v>44995</v>
      </c>
      <c r="H17" s="134">
        <v>25.57</v>
      </c>
      <c r="I17" s="132">
        <f t="shared" si="0"/>
        <v>-1.6676748718386758E-2</v>
      </c>
    </row>
    <row r="18" spans="2:9" x14ac:dyDescent="0.3">
      <c r="B18" s="30" t="s">
        <v>31</v>
      </c>
      <c r="C18" s="34">
        <f>NORMSDIST(-C14)</f>
        <v>0.66111923753193791</v>
      </c>
      <c r="G18" s="133">
        <v>44998</v>
      </c>
      <c r="H18" s="134">
        <v>24.36</v>
      </c>
      <c r="I18" s="132">
        <f t="shared" si="0"/>
        <v>-4.8477346461398965E-2</v>
      </c>
    </row>
    <row r="19" spans="2:9" ht="14.4" thickBot="1" x14ac:dyDescent="0.35">
      <c r="B19" s="33" t="s">
        <v>32</v>
      </c>
      <c r="C19" s="35">
        <f>NORMSDIST(-C15)</f>
        <v>0.75041400770790778</v>
      </c>
      <c r="G19" s="133">
        <v>44999</v>
      </c>
      <c r="H19" s="134">
        <v>25.2</v>
      </c>
      <c r="I19" s="132">
        <f t="shared" si="0"/>
        <v>3.3901551675681416E-2</v>
      </c>
    </row>
    <row r="20" spans="2:9" x14ac:dyDescent="0.3">
      <c r="B20" s="32"/>
      <c r="C20" s="32"/>
      <c r="G20" s="133">
        <v>45000</v>
      </c>
      <c r="H20" s="134">
        <v>25.15</v>
      </c>
      <c r="I20" s="132">
        <f t="shared" si="0"/>
        <v>-1.9860979716294028E-3</v>
      </c>
    </row>
    <row r="21" spans="2:9" ht="14.4" thickBot="1" x14ac:dyDescent="0.35">
      <c r="G21" s="133">
        <v>45001</v>
      </c>
      <c r="H21" s="134">
        <v>25.94</v>
      </c>
      <c r="I21" s="132">
        <f t="shared" si="0"/>
        <v>3.0928282342549761E-2</v>
      </c>
    </row>
    <row r="22" spans="2:9" x14ac:dyDescent="0.3">
      <c r="B22" s="29" t="s">
        <v>16</v>
      </c>
      <c r="C22" s="50">
        <v>22.5</v>
      </c>
      <c r="G22" s="133">
        <v>45002</v>
      </c>
      <c r="H22" s="134">
        <v>24.42</v>
      </c>
      <c r="I22" s="132">
        <f t="shared" si="0"/>
        <v>-6.0383710205739197E-2</v>
      </c>
    </row>
    <row r="23" spans="2:9" x14ac:dyDescent="0.3">
      <c r="B23" s="30" t="s">
        <v>0</v>
      </c>
      <c r="C23" s="52">
        <v>26.59</v>
      </c>
      <c r="G23" s="133">
        <v>45005</v>
      </c>
      <c r="H23" s="134">
        <v>24.33</v>
      </c>
      <c r="I23" s="132">
        <f t="shared" si="0"/>
        <v>-3.692311887127491E-3</v>
      </c>
    </row>
    <row r="24" spans="2:9" x14ac:dyDescent="0.3">
      <c r="B24" s="30" t="s">
        <v>22</v>
      </c>
      <c r="C24" s="27">
        <v>0.05</v>
      </c>
      <c r="G24" s="133">
        <v>45006</v>
      </c>
      <c r="H24" s="134">
        <v>25.29</v>
      </c>
      <c r="I24" s="132">
        <f t="shared" si="0"/>
        <v>3.8698903886442614E-2</v>
      </c>
    </row>
    <row r="25" spans="2:9" x14ac:dyDescent="0.3">
      <c r="B25" s="30" t="s">
        <v>23</v>
      </c>
      <c r="C25" s="27">
        <v>0.05</v>
      </c>
      <c r="G25" s="133">
        <v>45007</v>
      </c>
      <c r="H25" s="134">
        <v>24.98</v>
      </c>
      <c r="I25" s="132">
        <f t="shared" si="0"/>
        <v>-1.2333555984442161E-2</v>
      </c>
    </row>
    <row r="26" spans="2:9" ht="14.4" thickBot="1" x14ac:dyDescent="0.35">
      <c r="B26" s="30" t="s">
        <v>4</v>
      </c>
      <c r="C26" s="31">
        <v>1</v>
      </c>
      <c r="G26" s="133">
        <v>45008</v>
      </c>
      <c r="H26" s="134">
        <v>24.68</v>
      </c>
      <c r="I26" s="132">
        <f t="shared" si="0"/>
        <v>-1.2082305660244525E-2</v>
      </c>
    </row>
    <row r="27" spans="2:9" x14ac:dyDescent="0.3">
      <c r="B27" s="32" t="s">
        <v>24</v>
      </c>
      <c r="C27" s="53">
        <f>C22*C36-C23*EXP(-C24*C26)*C37</f>
        <v>2.2654131655785621</v>
      </c>
      <c r="G27" s="133">
        <v>45009</v>
      </c>
      <c r="H27" s="134">
        <v>25.1</v>
      </c>
      <c r="I27" s="132">
        <f t="shared" si="0"/>
        <v>1.6874647100551216E-2</v>
      </c>
    </row>
    <row r="28" spans="2:9" x14ac:dyDescent="0.3">
      <c r="B28" s="30" t="s">
        <v>11</v>
      </c>
      <c r="C28" s="52">
        <f>MAX(C22-C23,0)</f>
        <v>0</v>
      </c>
      <c r="G28" s="133">
        <v>45012</v>
      </c>
      <c r="H28" s="134">
        <v>25.56</v>
      </c>
      <c r="I28" s="132">
        <f t="shared" si="0"/>
        <v>1.8160783371595792E-2</v>
      </c>
    </row>
    <row r="29" spans="2:9" ht="14.4" thickBot="1" x14ac:dyDescent="0.35">
      <c r="B29" s="33" t="s">
        <v>12</v>
      </c>
      <c r="C29" s="54">
        <f>C27-C28</f>
        <v>2.2654131655785621</v>
      </c>
      <c r="G29" s="133">
        <v>45013</v>
      </c>
      <c r="H29" s="134">
        <v>25.65</v>
      </c>
      <c r="I29" s="132">
        <f t="shared" si="0"/>
        <v>3.5149421074443707E-3</v>
      </c>
    </row>
    <row r="30" spans="2:9" x14ac:dyDescent="0.3">
      <c r="B30" s="32" t="s">
        <v>25</v>
      </c>
      <c r="C30" s="53">
        <f>C23*EXP(-C24*C26)*C39-C22*C38</f>
        <v>5.0586035630525465</v>
      </c>
      <c r="G30" s="133">
        <v>45014</v>
      </c>
      <c r="H30" s="134">
        <v>25.55</v>
      </c>
      <c r="I30" s="132">
        <f t="shared" si="0"/>
        <v>-3.9062549670649885E-3</v>
      </c>
    </row>
    <row r="31" spans="2:9" x14ac:dyDescent="0.3">
      <c r="B31" s="30" t="s">
        <v>13</v>
      </c>
      <c r="C31" s="52">
        <f>MAX(C23-C22,0)</f>
        <v>4.09</v>
      </c>
      <c r="G31" s="133">
        <v>45015</v>
      </c>
      <c r="H31" s="134">
        <v>25.04</v>
      </c>
      <c r="I31" s="132">
        <f t="shared" si="0"/>
        <v>-2.016277041781574E-2</v>
      </c>
    </row>
    <row r="32" spans="2:9" ht="14.4" thickBot="1" x14ac:dyDescent="0.35">
      <c r="B32" s="33" t="s">
        <v>14</v>
      </c>
      <c r="C32" s="54">
        <f>C30-C31</f>
        <v>0.96860356305254669</v>
      </c>
      <c r="G32" s="133">
        <v>45016</v>
      </c>
      <c r="H32" s="134">
        <v>25.06</v>
      </c>
      <c r="I32" s="132">
        <f t="shared" si="0"/>
        <v>7.9840323602455932E-4</v>
      </c>
    </row>
    <row r="33" spans="2:9" x14ac:dyDescent="0.3">
      <c r="B33" s="32" t="s">
        <v>26</v>
      </c>
      <c r="C33" s="28">
        <f>F4</f>
        <v>0.36808229691797051</v>
      </c>
      <c r="G33" s="133">
        <v>45019</v>
      </c>
      <c r="H33" s="134">
        <v>24.77</v>
      </c>
      <c r="I33" s="132">
        <f t="shared" si="0"/>
        <v>-1.1639705966654045E-2</v>
      </c>
    </row>
    <row r="34" spans="2:9" x14ac:dyDescent="0.3">
      <c r="B34" s="30" t="s">
        <v>27</v>
      </c>
      <c r="C34" s="34">
        <f>(LN(C22/C23)+(C24+C33^2/2)*C26)/(C33*SQRT(C26))</f>
        <v>-0.13387660261023449</v>
      </c>
      <c r="G34" s="133">
        <v>45020</v>
      </c>
      <c r="H34" s="134">
        <v>24.29</v>
      </c>
      <c r="I34" s="132">
        <f t="shared" si="0"/>
        <v>-1.9568500487187036E-2</v>
      </c>
    </row>
    <row r="35" spans="2:9" x14ac:dyDescent="0.3">
      <c r="B35" s="30" t="s">
        <v>28</v>
      </c>
      <c r="C35" s="34">
        <f>C34-C33*SQRT(C26)</f>
        <v>-0.50195889952820494</v>
      </c>
      <c r="G35" s="133">
        <v>45021</v>
      </c>
      <c r="H35" s="134">
        <v>23.93</v>
      </c>
      <c r="I35" s="132">
        <f t="shared" si="0"/>
        <v>-1.493184109379918E-2</v>
      </c>
    </row>
    <row r="36" spans="2:9" x14ac:dyDescent="0.3">
      <c r="B36" s="30" t="s">
        <v>29</v>
      </c>
      <c r="C36" s="34">
        <f>NORMSDIST(C34)</f>
        <v>0.4467500760620513</v>
      </c>
      <c r="G36" s="133">
        <v>45022</v>
      </c>
      <c r="H36" s="134">
        <v>24.07</v>
      </c>
      <c r="I36" s="132">
        <f t="shared" si="0"/>
        <v>5.8333498746986935E-3</v>
      </c>
    </row>
    <row r="37" spans="2:9" x14ac:dyDescent="0.3">
      <c r="B37" s="30" t="s">
        <v>30</v>
      </c>
      <c r="C37" s="34">
        <f>NORMSDIST(C35)</f>
        <v>0.30784821619795427</v>
      </c>
      <c r="G37" s="133">
        <v>45023</v>
      </c>
      <c r="H37" s="134">
        <v>24.07</v>
      </c>
      <c r="I37" s="132">
        <f t="shared" si="0"/>
        <v>0</v>
      </c>
    </row>
    <row r="38" spans="2:9" x14ac:dyDescent="0.3">
      <c r="B38" s="30" t="s">
        <v>31</v>
      </c>
      <c r="C38" s="34">
        <f>NORMSDIST(-C34)</f>
        <v>0.5532499239379487</v>
      </c>
      <c r="G38" s="133">
        <v>45026</v>
      </c>
      <c r="H38" s="134">
        <v>24.03</v>
      </c>
      <c r="I38" s="132">
        <f t="shared" si="0"/>
        <v>-1.6632020466029744E-3</v>
      </c>
    </row>
    <row r="39" spans="2:9" ht="14.4" thickBot="1" x14ac:dyDescent="0.35">
      <c r="B39" s="33" t="s">
        <v>32</v>
      </c>
      <c r="C39" s="35">
        <f>NORMSDIST(-C35)</f>
        <v>0.69215178380204567</v>
      </c>
      <c r="G39" s="133">
        <v>45027</v>
      </c>
      <c r="H39" s="134">
        <v>23.71</v>
      </c>
      <c r="I39" s="132">
        <f t="shared" si="0"/>
        <v>-1.3406149671063428E-2</v>
      </c>
    </row>
    <row r="40" spans="2:9" x14ac:dyDescent="0.3">
      <c r="G40" s="133">
        <v>45028</v>
      </c>
      <c r="H40" s="134">
        <v>23.44</v>
      </c>
      <c r="I40" s="132">
        <f t="shared" si="0"/>
        <v>-1.1452935368502273E-2</v>
      </c>
    </row>
    <row r="41" spans="2:9" x14ac:dyDescent="0.3">
      <c r="G41" s="133">
        <v>45029</v>
      </c>
      <c r="H41" s="134">
        <v>23.45</v>
      </c>
      <c r="I41" s="132">
        <f t="shared" si="0"/>
        <v>4.2653018347631731E-4</v>
      </c>
    </row>
    <row r="42" spans="2:9" x14ac:dyDescent="0.3">
      <c r="B42" s="1" t="s">
        <v>106</v>
      </c>
      <c r="C42" s="135">
        <f>C7+C10</f>
        <v>5.7378529214497522</v>
      </c>
      <c r="G42" s="133">
        <v>45030</v>
      </c>
      <c r="H42" s="134">
        <v>23.16</v>
      </c>
      <c r="I42" s="132">
        <f t="shared" si="0"/>
        <v>-1.2443842187493878E-2</v>
      </c>
    </row>
    <row r="43" spans="2:9" x14ac:dyDescent="0.3">
      <c r="B43" s="1" t="s">
        <v>107</v>
      </c>
      <c r="C43" s="135">
        <f>C30+C27</f>
        <v>7.3240167286311086</v>
      </c>
      <c r="G43" s="133">
        <v>45033</v>
      </c>
      <c r="H43" s="134">
        <v>23.35</v>
      </c>
      <c r="I43" s="132">
        <f t="shared" si="0"/>
        <v>8.1703314101119265E-3</v>
      </c>
    </row>
    <row r="44" spans="2:9" x14ac:dyDescent="0.3">
      <c r="B44" s="1" t="s">
        <v>108</v>
      </c>
      <c r="C44" s="136">
        <f>C42+C43</f>
        <v>13.061869650080862</v>
      </c>
      <c r="G44" s="133">
        <v>45034</v>
      </c>
      <c r="H44" s="134">
        <v>22.7</v>
      </c>
      <c r="I44" s="132">
        <f t="shared" si="0"/>
        <v>-2.8232059627549429E-2</v>
      </c>
    </row>
    <row r="45" spans="2:9" ht="14.4" thickBot="1" x14ac:dyDescent="0.35">
      <c r="G45" s="133">
        <v>45035</v>
      </c>
      <c r="H45" s="134">
        <v>23.36</v>
      </c>
      <c r="I45" s="132">
        <f t="shared" si="0"/>
        <v>2.8660233472669366E-2</v>
      </c>
    </row>
    <row r="46" spans="2:9" x14ac:dyDescent="0.3">
      <c r="B46" s="29" t="s">
        <v>16</v>
      </c>
      <c r="C46" s="50">
        <v>23.62</v>
      </c>
      <c r="G46" s="133">
        <v>45036</v>
      </c>
      <c r="H46" s="134">
        <v>23.11</v>
      </c>
      <c r="I46" s="132">
        <f t="shared" si="0"/>
        <v>-1.0759733673736978E-2</v>
      </c>
    </row>
    <row r="47" spans="2:9" x14ac:dyDescent="0.3">
      <c r="B47" s="30" t="s">
        <v>0</v>
      </c>
      <c r="C47" s="52">
        <v>26.59</v>
      </c>
      <c r="G47" s="133">
        <v>45037</v>
      </c>
      <c r="H47" s="134">
        <v>21.96</v>
      </c>
      <c r="I47" s="132">
        <f t="shared" si="0"/>
        <v>-5.104280764495947E-2</v>
      </c>
    </row>
    <row r="48" spans="2:9" x14ac:dyDescent="0.3">
      <c r="B48" s="30" t="s">
        <v>22</v>
      </c>
      <c r="C48" s="27">
        <v>0.05</v>
      </c>
      <c r="G48" s="133">
        <v>45040</v>
      </c>
      <c r="H48" s="134">
        <v>21.71</v>
      </c>
      <c r="I48" s="132">
        <f t="shared" si="0"/>
        <v>-1.1449632751129401E-2</v>
      </c>
    </row>
    <row r="49" spans="2:9" x14ac:dyDescent="0.3">
      <c r="B49" s="30" t="s">
        <v>23</v>
      </c>
      <c r="C49" s="27">
        <v>0.05</v>
      </c>
      <c r="G49" s="133">
        <v>45041</v>
      </c>
      <c r="H49" s="134">
        <v>20.58</v>
      </c>
      <c r="I49" s="132">
        <f t="shared" si="0"/>
        <v>-5.3453253484297025E-2</v>
      </c>
    </row>
    <row r="50" spans="2:9" ht="14.4" thickBot="1" x14ac:dyDescent="0.35">
      <c r="B50" s="30" t="s">
        <v>4</v>
      </c>
      <c r="C50" s="31">
        <v>0.5</v>
      </c>
      <c r="G50" s="133">
        <v>45042</v>
      </c>
      <c r="H50" s="134">
        <v>20.67</v>
      </c>
      <c r="I50" s="132">
        <f t="shared" si="0"/>
        <v>4.3636432877734921E-3</v>
      </c>
    </row>
    <row r="51" spans="2:9" x14ac:dyDescent="0.3">
      <c r="B51" s="32" t="s">
        <v>24</v>
      </c>
      <c r="C51" s="53">
        <f>C46*C60-C47*EXP(-C48*C50)*C61</f>
        <v>1.5711892703883663</v>
      </c>
      <c r="G51" s="133">
        <v>45043</v>
      </c>
      <c r="H51" s="134">
        <v>21.1</v>
      </c>
      <c r="I51" s="132">
        <f t="shared" si="0"/>
        <v>2.0589666788343796E-2</v>
      </c>
    </row>
    <row r="52" spans="2:9" x14ac:dyDescent="0.3">
      <c r="B52" s="30" t="s">
        <v>11</v>
      </c>
      <c r="C52" s="52">
        <f>MAX(C46-C47,0)</f>
        <v>0</v>
      </c>
      <c r="G52" s="133">
        <v>45044</v>
      </c>
      <c r="H52" s="134">
        <v>21.27</v>
      </c>
      <c r="I52" s="132">
        <f t="shared" si="0"/>
        <v>8.0245887301249284E-3</v>
      </c>
    </row>
    <row r="53" spans="2:9" ht="14.4" thickBot="1" x14ac:dyDescent="0.35">
      <c r="B53" s="33" t="s">
        <v>12</v>
      </c>
      <c r="C53" s="54">
        <f>C51-C52</f>
        <v>1.5711892703883663</v>
      </c>
      <c r="G53" s="133">
        <v>45047</v>
      </c>
      <c r="H53" s="134">
        <v>20.84</v>
      </c>
      <c r="I53" s="132">
        <f t="shared" si="0"/>
        <v>-2.0423412326979622E-2</v>
      </c>
    </row>
    <row r="54" spans="2:9" x14ac:dyDescent="0.3">
      <c r="B54" s="32" t="s">
        <v>25</v>
      </c>
      <c r="C54" s="53">
        <f>C47*EXP(-C48*C50)*C63-C46*C62</f>
        <v>3.8846798312217281</v>
      </c>
      <c r="G54" s="133">
        <v>45048</v>
      </c>
      <c r="H54" s="134">
        <v>19.32</v>
      </c>
      <c r="I54" s="132">
        <f t="shared" si="0"/>
        <v>-7.5733388100794261E-2</v>
      </c>
    </row>
    <row r="55" spans="2:9" x14ac:dyDescent="0.3">
      <c r="B55" s="30" t="s">
        <v>13</v>
      </c>
      <c r="C55" s="52">
        <f>MAX(C47-C46,0)</f>
        <v>2.9699999999999989</v>
      </c>
      <c r="G55" s="133">
        <v>45049</v>
      </c>
      <c r="H55" s="134">
        <v>19.47</v>
      </c>
      <c r="I55" s="132">
        <f t="shared" si="0"/>
        <v>7.7339905997362568E-3</v>
      </c>
    </row>
    <row r="56" spans="2:9" ht="14.4" thickBot="1" x14ac:dyDescent="0.35">
      <c r="B56" s="33" t="s">
        <v>14</v>
      </c>
      <c r="C56" s="54">
        <f>C54-C55</f>
        <v>0.91467983122172924</v>
      </c>
      <c r="G56" s="133">
        <v>45050</v>
      </c>
      <c r="H56" s="134">
        <v>18.940000000000001</v>
      </c>
      <c r="I56" s="132">
        <f t="shared" si="0"/>
        <v>-2.7598731626176029E-2</v>
      </c>
    </row>
    <row r="57" spans="2:9" x14ac:dyDescent="0.3">
      <c r="B57" s="32" t="s">
        <v>26</v>
      </c>
      <c r="C57" s="28">
        <f>F4</f>
        <v>0.36808229691797051</v>
      </c>
      <c r="G57" s="133">
        <v>45051</v>
      </c>
      <c r="H57" s="134">
        <v>19.989999999999998</v>
      </c>
      <c r="I57" s="132">
        <f t="shared" si="0"/>
        <v>5.3956060754376284E-2</v>
      </c>
    </row>
    <row r="58" spans="2:9" x14ac:dyDescent="0.3">
      <c r="B58" s="30" t="s">
        <v>27</v>
      </c>
      <c r="C58" s="34">
        <f>(LN(C46/C47)+(C48+C57^2/2)*C50)/(C57*SQRT(C50))</f>
        <v>-0.22887559764509091</v>
      </c>
      <c r="G58" s="133">
        <v>45054</v>
      </c>
      <c r="H58" s="134">
        <v>19.309999999999999</v>
      </c>
      <c r="I58" s="132">
        <f t="shared" si="0"/>
        <v>-3.4609052071885651E-2</v>
      </c>
    </row>
    <row r="59" spans="2:9" x14ac:dyDescent="0.3">
      <c r="B59" s="30" t="s">
        <v>28</v>
      </c>
      <c r="C59" s="34">
        <f>C58-C57*SQRT(C50)</f>
        <v>-0.48914908583050809</v>
      </c>
      <c r="G59" s="133">
        <v>45055</v>
      </c>
      <c r="H59" s="134">
        <v>19.21</v>
      </c>
      <c r="I59" s="132">
        <f t="shared" si="0"/>
        <v>-5.1921196599576521E-3</v>
      </c>
    </row>
    <row r="60" spans="2:9" x14ac:dyDescent="0.3">
      <c r="B60" s="30" t="s">
        <v>29</v>
      </c>
      <c r="C60" s="34">
        <f>NORMSDIST(C58)</f>
        <v>0.40948280371612711</v>
      </c>
      <c r="G60" s="133">
        <v>45056</v>
      </c>
      <c r="H60" s="134">
        <v>19.13</v>
      </c>
      <c r="I60" s="132">
        <f t="shared" si="0"/>
        <v>-4.1731933283038845E-3</v>
      </c>
    </row>
    <row r="61" spans="2:9" x14ac:dyDescent="0.3">
      <c r="B61" s="30" t="s">
        <v>30</v>
      </c>
      <c r="C61" s="34">
        <f>NORMSDIST(C59)</f>
        <v>0.31236807611316941</v>
      </c>
      <c r="G61" s="133">
        <v>45057</v>
      </c>
      <c r="H61" s="134">
        <v>18.84</v>
      </c>
      <c r="I61" s="132">
        <f t="shared" si="0"/>
        <v>-1.5275514303944419E-2</v>
      </c>
    </row>
    <row r="62" spans="2:9" x14ac:dyDescent="0.3">
      <c r="B62" s="30" t="s">
        <v>31</v>
      </c>
      <c r="C62" s="34">
        <f>NORMSDIST(-C58)</f>
        <v>0.59051719628387289</v>
      </c>
      <c r="G62" s="133">
        <v>45058</v>
      </c>
      <c r="H62" s="134">
        <v>18.98</v>
      </c>
      <c r="I62" s="132">
        <f t="shared" si="0"/>
        <v>7.4035240335649155E-3</v>
      </c>
    </row>
    <row r="63" spans="2:9" ht="14.4" thickBot="1" x14ac:dyDescent="0.35">
      <c r="B63" s="33" t="s">
        <v>32</v>
      </c>
      <c r="C63" s="35">
        <f>NORMSDIST(-C59)</f>
        <v>0.68763192388683059</v>
      </c>
      <c r="G63" s="133">
        <v>45061</v>
      </c>
      <c r="H63" s="134">
        <v>19.48</v>
      </c>
      <c r="I63" s="132">
        <f t="shared" si="0"/>
        <v>2.6002505032607138E-2</v>
      </c>
    </row>
    <row r="64" spans="2:9" x14ac:dyDescent="0.3">
      <c r="G64" s="133">
        <v>45062</v>
      </c>
      <c r="H64" s="134">
        <v>19.29</v>
      </c>
      <c r="I64" s="132">
        <f t="shared" si="0"/>
        <v>-9.8014712967513795E-3</v>
      </c>
    </row>
    <row r="65" spans="2:9" x14ac:dyDescent="0.3">
      <c r="B65" s="1" t="s">
        <v>109</v>
      </c>
      <c r="C65" s="136">
        <f>C54+C51+MAX(C46-C47,0)+MAX(C47-C46,0)</f>
        <v>8.4258691016100933</v>
      </c>
      <c r="G65" s="133">
        <v>45063</v>
      </c>
      <c r="H65" s="134">
        <v>20.74</v>
      </c>
      <c r="I65" s="132">
        <f t="shared" si="0"/>
        <v>7.2477375883743547E-2</v>
      </c>
    </row>
    <row r="66" spans="2:9" x14ac:dyDescent="0.3">
      <c r="B66" s="1" t="s">
        <v>110</v>
      </c>
      <c r="C66" s="137">
        <f>C65/C44-1</f>
        <v>-0.35492626037973585</v>
      </c>
      <c r="G66" s="133">
        <v>45064</v>
      </c>
      <c r="H66" s="134">
        <v>20.95</v>
      </c>
      <c r="I66" s="132">
        <f t="shared" si="0"/>
        <v>1.0074443566765446E-2</v>
      </c>
    </row>
    <row r="67" spans="2:9" x14ac:dyDescent="0.3">
      <c r="G67" s="133">
        <v>45065</v>
      </c>
      <c r="H67" s="134">
        <v>20.5</v>
      </c>
      <c r="I67" s="132">
        <f t="shared" si="0"/>
        <v>-2.1713760223784247E-2</v>
      </c>
    </row>
    <row r="68" spans="2:9" x14ac:dyDescent="0.3">
      <c r="G68" s="133">
        <v>45068</v>
      </c>
      <c r="H68" s="134">
        <v>21.17</v>
      </c>
      <c r="I68" s="132">
        <f t="shared" si="0"/>
        <v>3.2160199002411322E-2</v>
      </c>
    </row>
    <row r="69" spans="2:9" x14ac:dyDescent="0.3">
      <c r="G69" s="133">
        <v>45069</v>
      </c>
      <c r="H69" s="134">
        <v>21.88</v>
      </c>
      <c r="I69" s="132">
        <f t="shared" si="0"/>
        <v>3.2987892407006565E-2</v>
      </c>
    </row>
    <row r="70" spans="2:9" x14ac:dyDescent="0.3">
      <c r="G70" s="133">
        <v>45070</v>
      </c>
      <c r="H70" s="134">
        <v>21.46</v>
      </c>
      <c r="I70" s="132">
        <f t="shared" ref="I70:I133" si="1">LN(H70/H69)</f>
        <v>-1.9382240351227986E-2</v>
      </c>
    </row>
    <row r="71" spans="2:9" x14ac:dyDescent="0.3">
      <c r="G71" s="133">
        <v>45071</v>
      </c>
      <c r="H71" s="134">
        <v>21.31</v>
      </c>
      <c r="I71" s="132">
        <f t="shared" si="1"/>
        <v>-7.0142910920267861E-3</v>
      </c>
    </row>
    <row r="72" spans="2:9" x14ac:dyDescent="0.3">
      <c r="G72" s="133">
        <v>45072</v>
      </c>
      <c r="H72" s="134">
        <v>21.56</v>
      </c>
      <c r="I72" s="132">
        <f t="shared" si="1"/>
        <v>1.1663299930270607E-2</v>
      </c>
    </row>
    <row r="73" spans="2:9" x14ac:dyDescent="0.3">
      <c r="G73" s="133">
        <v>45075</v>
      </c>
      <c r="H73" s="134">
        <v>21.56</v>
      </c>
      <c r="I73" s="132">
        <f t="shared" si="1"/>
        <v>0</v>
      </c>
    </row>
    <row r="74" spans="2:9" x14ac:dyDescent="0.3">
      <c r="G74" s="133">
        <v>45076</v>
      </c>
      <c r="H74" s="134">
        <v>21.22</v>
      </c>
      <c r="I74" s="132">
        <f t="shared" si="1"/>
        <v>-1.5895612854959325E-2</v>
      </c>
    </row>
    <row r="75" spans="2:9" x14ac:dyDescent="0.3">
      <c r="G75" s="133">
        <v>45077</v>
      </c>
      <c r="H75" s="134">
        <v>20.45</v>
      </c>
      <c r="I75" s="132">
        <f t="shared" si="1"/>
        <v>-3.6961250697026354E-2</v>
      </c>
    </row>
    <row r="76" spans="2:9" x14ac:dyDescent="0.3">
      <c r="G76" s="133">
        <v>45078</v>
      </c>
      <c r="H76" s="134">
        <v>20.83</v>
      </c>
      <c r="I76" s="132">
        <f t="shared" si="1"/>
        <v>1.8411372784069804E-2</v>
      </c>
    </row>
    <row r="77" spans="2:9" x14ac:dyDescent="0.3">
      <c r="G77" s="133">
        <v>45079</v>
      </c>
      <c r="H77" s="134">
        <v>22.38</v>
      </c>
      <c r="I77" s="132">
        <f t="shared" si="1"/>
        <v>7.17734476108986E-2</v>
      </c>
    </row>
    <row r="78" spans="2:9" x14ac:dyDescent="0.3">
      <c r="G78" s="133">
        <v>45082</v>
      </c>
      <c r="H78" s="134">
        <v>21.63</v>
      </c>
      <c r="I78" s="132">
        <f t="shared" si="1"/>
        <v>-3.4086462918811795E-2</v>
      </c>
    </row>
    <row r="79" spans="2:9" x14ac:dyDescent="0.3">
      <c r="G79" s="133">
        <v>45083</v>
      </c>
      <c r="H79" s="134">
        <v>22.61</v>
      </c>
      <c r="I79" s="132">
        <f t="shared" si="1"/>
        <v>4.4311046324911202E-2</v>
      </c>
    </row>
    <row r="80" spans="2:9" x14ac:dyDescent="0.3">
      <c r="G80" s="133">
        <v>45084</v>
      </c>
      <c r="H80" s="134">
        <v>23.51</v>
      </c>
      <c r="I80" s="132">
        <f t="shared" si="1"/>
        <v>3.9033576262099835E-2</v>
      </c>
    </row>
    <row r="81" spans="2:9" x14ac:dyDescent="0.3">
      <c r="G81" s="133">
        <v>45085</v>
      </c>
      <c r="H81" s="134">
        <v>23.17</v>
      </c>
      <c r="I81" s="132">
        <f t="shared" si="1"/>
        <v>-1.4567524107693313E-2</v>
      </c>
    </row>
    <row r="82" spans="2:9" x14ac:dyDescent="0.3">
      <c r="G82" s="133">
        <v>45086</v>
      </c>
      <c r="H82" s="134">
        <v>22.9</v>
      </c>
      <c r="I82" s="132">
        <f t="shared" si="1"/>
        <v>-1.1721427884091048E-2</v>
      </c>
    </row>
    <row r="83" spans="2:9" x14ac:dyDescent="0.3">
      <c r="B83" s="193" t="s">
        <v>342</v>
      </c>
      <c r="G83" s="133">
        <v>45089</v>
      </c>
      <c r="H83" s="134">
        <v>22.73</v>
      </c>
      <c r="I83" s="132">
        <f t="shared" si="1"/>
        <v>-7.4512726957420439E-3</v>
      </c>
    </row>
    <row r="84" spans="2:9" x14ac:dyDescent="0.3">
      <c r="G84" s="133">
        <v>45090</v>
      </c>
      <c r="H84" s="134">
        <v>23.17</v>
      </c>
      <c r="I84" s="132">
        <f t="shared" si="1"/>
        <v>1.9172700579833137E-2</v>
      </c>
    </row>
    <row r="85" spans="2:9" x14ac:dyDescent="0.3">
      <c r="G85" s="133">
        <v>45091</v>
      </c>
      <c r="H85" s="134">
        <v>22.31</v>
      </c>
      <c r="I85" s="132">
        <f t="shared" si="1"/>
        <v>-3.7823329999843849E-2</v>
      </c>
    </row>
    <row r="86" spans="2:9" x14ac:dyDescent="0.3">
      <c r="G86" s="133">
        <v>45092</v>
      </c>
      <c r="H86" s="134">
        <v>22.74</v>
      </c>
      <c r="I86" s="132">
        <f t="shared" si="1"/>
        <v>1.9090479877948825E-2</v>
      </c>
    </row>
    <row r="87" spans="2:9" x14ac:dyDescent="0.3">
      <c r="G87" s="133">
        <v>45093</v>
      </c>
      <c r="H87" s="134">
        <v>22.55</v>
      </c>
      <c r="I87" s="132">
        <f t="shared" si="1"/>
        <v>-8.3904223737025774E-3</v>
      </c>
    </row>
    <row r="88" spans="2:9" x14ac:dyDescent="0.3">
      <c r="G88" s="133">
        <v>45096</v>
      </c>
      <c r="H88" s="134">
        <v>22.55</v>
      </c>
      <c r="I88" s="132">
        <f t="shared" si="1"/>
        <v>0</v>
      </c>
    </row>
    <row r="89" spans="2:9" x14ac:dyDescent="0.3">
      <c r="G89" s="133">
        <v>45097</v>
      </c>
      <c r="H89" s="134">
        <v>22.1</v>
      </c>
      <c r="I89" s="132">
        <f t="shared" si="1"/>
        <v>-2.0157457424980169E-2</v>
      </c>
    </row>
    <row r="90" spans="2:9" x14ac:dyDescent="0.3">
      <c r="G90" s="133">
        <v>45098</v>
      </c>
      <c r="H90" s="134">
        <v>21.65</v>
      </c>
      <c r="I90" s="132">
        <f t="shared" si="1"/>
        <v>-2.0572154075208432E-2</v>
      </c>
    </row>
    <row r="91" spans="2:9" x14ac:dyDescent="0.3">
      <c r="G91" s="133">
        <v>45099</v>
      </c>
      <c r="H91" s="134">
        <v>20.99</v>
      </c>
      <c r="I91" s="132">
        <f t="shared" si="1"/>
        <v>-3.0959320615957249E-2</v>
      </c>
    </row>
    <row r="92" spans="2:9" x14ac:dyDescent="0.3">
      <c r="G92" s="133">
        <v>45100</v>
      </c>
      <c r="H92" s="134">
        <v>20.62</v>
      </c>
      <c r="I92" s="132">
        <f t="shared" si="1"/>
        <v>-1.7784655243727625E-2</v>
      </c>
    </row>
    <row r="93" spans="2:9" x14ac:dyDescent="0.3">
      <c r="G93" s="133">
        <v>45103</v>
      </c>
      <c r="H93" s="134">
        <v>20.83</v>
      </c>
      <c r="I93" s="132">
        <f t="shared" si="1"/>
        <v>1.0132776684066687E-2</v>
      </c>
    </row>
    <row r="94" spans="2:9" x14ac:dyDescent="0.3">
      <c r="G94" s="133">
        <v>45104</v>
      </c>
      <c r="H94" s="134">
        <v>20.91</v>
      </c>
      <c r="I94" s="132">
        <f t="shared" si="1"/>
        <v>3.8332581676617E-3</v>
      </c>
    </row>
    <row r="95" spans="2:9" x14ac:dyDescent="0.3">
      <c r="G95" s="133">
        <v>45105</v>
      </c>
      <c r="H95" s="134">
        <v>20.91</v>
      </c>
      <c r="I95" s="132">
        <f t="shared" si="1"/>
        <v>0</v>
      </c>
    </row>
    <row r="96" spans="2:9" x14ac:dyDescent="0.3">
      <c r="G96" s="133">
        <v>45106</v>
      </c>
      <c r="H96" s="134">
        <v>21.06</v>
      </c>
      <c r="I96" s="132">
        <f t="shared" si="1"/>
        <v>7.1479932652871508E-3</v>
      </c>
    </row>
    <row r="97" spans="7:9" x14ac:dyDescent="0.3">
      <c r="G97" s="133">
        <v>45107</v>
      </c>
      <c r="H97" s="134">
        <v>20.73</v>
      </c>
      <c r="I97" s="132">
        <f t="shared" si="1"/>
        <v>-1.5793580258141128E-2</v>
      </c>
    </row>
    <row r="98" spans="7:9" x14ac:dyDescent="0.3">
      <c r="G98" s="133">
        <v>45110</v>
      </c>
      <c r="H98" s="134">
        <v>21.16</v>
      </c>
      <c r="I98" s="132">
        <f t="shared" si="1"/>
        <v>2.053068054241031E-2</v>
      </c>
    </row>
    <row r="99" spans="7:9" x14ac:dyDescent="0.3">
      <c r="G99" s="133">
        <v>45111</v>
      </c>
      <c r="H99" s="134">
        <v>21.16</v>
      </c>
      <c r="I99" s="132">
        <f t="shared" si="1"/>
        <v>0</v>
      </c>
    </row>
    <row r="100" spans="7:9" x14ac:dyDescent="0.3">
      <c r="G100" s="133">
        <v>45112</v>
      </c>
      <c r="H100" s="134">
        <v>20.68</v>
      </c>
      <c r="I100" s="132">
        <f t="shared" si="1"/>
        <v>-2.2945557349870246E-2</v>
      </c>
    </row>
    <row r="101" spans="7:9" x14ac:dyDescent="0.3">
      <c r="G101" s="133">
        <v>45113</v>
      </c>
      <c r="H101" s="134">
        <v>20.61</v>
      </c>
      <c r="I101" s="132">
        <f t="shared" si="1"/>
        <v>-3.3906547378607108E-3</v>
      </c>
    </row>
    <row r="102" spans="7:9" x14ac:dyDescent="0.3">
      <c r="G102" s="133">
        <v>45114</v>
      </c>
      <c r="H102" s="134">
        <v>20.97</v>
      </c>
      <c r="I102" s="132">
        <f t="shared" si="1"/>
        <v>1.7316450011460958E-2</v>
      </c>
    </row>
    <row r="103" spans="7:9" x14ac:dyDescent="0.3">
      <c r="G103" s="133">
        <v>45117</v>
      </c>
      <c r="H103" s="134">
        <v>21.16</v>
      </c>
      <c r="I103" s="132">
        <f t="shared" si="1"/>
        <v>9.0197620762702095E-3</v>
      </c>
    </row>
    <row r="104" spans="7:9" x14ac:dyDescent="0.3">
      <c r="G104" s="133">
        <v>45118</v>
      </c>
      <c r="H104" s="134">
        <v>21.29</v>
      </c>
      <c r="I104" s="132">
        <f t="shared" si="1"/>
        <v>6.124871915289363E-3</v>
      </c>
    </row>
    <row r="105" spans="7:9" x14ac:dyDescent="0.3">
      <c r="G105" s="133">
        <v>45119</v>
      </c>
      <c r="H105" s="134">
        <v>22.23</v>
      </c>
      <c r="I105" s="132">
        <f t="shared" si="1"/>
        <v>4.3205249070717239E-2</v>
      </c>
    </row>
    <row r="106" spans="7:9" x14ac:dyDescent="0.3">
      <c r="G106" s="133">
        <v>45120</v>
      </c>
      <c r="H106" s="134">
        <v>22.64</v>
      </c>
      <c r="I106" s="132">
        <f t="shared" si="1"/>
        <v>1.8275525358877037E-2</v>
      </c>
    </row>
    <row r="107" spans="7:9" x14ac:dyDescent="0.3">
      <c r="G107" s="133">
        <v>45121</v>
      </c>
      <c r="H107" s="134">
        <v>22.25</v>
      </c>
      <c r="I107" s="132">
        <f t="shared" si="1"/>
        <v>-1.7376244722732977E-2</v>
      </c>
    </row>
    <row r="108" spans="7:9" x14ac:dyDescent="0.3">
      <c r="G108" s="133">
        <v>45124</v>
      </c>
      <c r="H108" s="134">
        <v>22.66</v>
      </c>
      <c r="I108" s="132">
        <f t="shared" si="1"/>
        <v>1.825924698761101E-2</v>
      </c>
    </row>
    <row r="109" spans="7:9" x14ac:dyDescent="0.3">
      <c r="G109" s="133">
        <v>45125</v>
      </c>
      <c r="H109" s="134">
        <v>23.18</v>
      </c>
      <c r="I109" s="132">
        <f t="shared" si="1"/>
        <v>2.2688582311745344E-2</v>
      </c>
    </row>
    <row r="110" spans="7:9" x14ac:dyDescent="0.3">
      <c r="G110" s="133">
        <v>45126</v>
      </c>
      <c r="H110" s="134">
        <v>23.89</v>
      </c>
      <c r="I110" s="132">
        <f t="shared" si="1"/>
        <v>3.0170123426112565E-2</v>
      </c>
    </row>
    <row r="111" spans="7:9" x14ac:dyDescent="0.3">
      <c r="G111" s="133">
        <v>45127</v>
      </c>
      <c r="H111" s="134">
        <v>22.25</v>
      </c>
      <c r="I111" s="132">
        <f t="shared" si="1"/>
        <v>-7.1117952725469002E-2</v>
      </c>
    </row>
    <row r="112" spans="7:9" x14ac:dyDescent="0.3">
      <c r="G112" s="133">
        <v>45128</v>
      </c>
      <c r="H112" s="134">
        <v>21.79</v>
      </c>
      <c r="I112" s="132">
        <f t="shared" si="1"/>
        <v>-2.0890859655720781E-2</v>
      </c>
    </row>
    <row r="113" spans="7:9" x14ac:dyDescent="0.3">
      <c r="G113" s="133">
        <v>45131</v>
      </c>
      <c r="H113" s="134">
        <v>22.41</v>
      </c>
      <c r="I113" s="132">
        <f t="shared" si="1"/>
        <v>2.8056138856307172E-2</v>
      </c>
    </row>
    <row r="114" spans="7:9" x14ac:dyDescent="0.3">
      <c r="G114" s="133">
        <v>45132</v>
      </c>
      <c r="H114" s="134">
        <v>22.1</v>
      </c>
      <c r="I114" s="132">
        <f t="shared" si="1"/>
        <v>-1.3929679289128409E-2</v>
      </c>
    </row>
    <row r="115" spans="7:9" x14ac:dyDescent="0.3">
      <c r="G115" s="133">
        <v>45133</v>
      </c>
      <c r="H115" s="134">
        <v>23.03</v>
      </c>
      <c r="I115" s="132">
        <f t="shared" si="1"/>
        <v>4.1220105308886763E-2</v>
      </c>
    </row>
    <row r="116" spans="7:9" x14ac:dyDescent="0.3">
      <c r="G116" s="133">
        <v>45134</v>
      </c>
      <c r="H116" s="134">
        <v>22.53</v>
      </c>
      <c r="I116" s="132">
        <f t="shared" si="1"/>
        <v>-2.1949959388440739E-2</v>
      </c>
    </row>
    <row r="117" spans="7:9" x14ac:dyDescent="0.3">
      <c r="G117" s="133">
        <v>45135</v>
      </c>
      <c r="H117" s="134">
        <v>22.79</v>
      </c>
      <c r="I117" s="132">
        <f t="shared" si="1"/>
        <v>1.1474088813439807E-2</v>
      </c>
    </row>
    <row r="118" spans="7:9" x14ac:dyDescent="0.3">
      <c r="G118" s="133">
        <v>45138</v>
      </c>
      <c r="H118" s="134">
        <v>22.81</v>
      </c>
      <c r="I118" s="132">
        <f t="shared" si="1"/>
        <v>8.7719303870364919E-4</v>
      </c>
    </row>
    <row r="119" spans="7:9" x14ac:dyDescent="0.3">
      <c r="G119" s="133">
        <v>45139</v>
      </c>
      <c r="H119" s="134">
        <v>22.62</v>
      </c>
      <c r="I119" s="132">
        <f t="shared" si="1"/>
        <v>-8.3645656083222199E-3</v>
      </c>
    </row>
    <row r="120" spans="7:9" x14ac:dyDescent="0.3">
      <c r="G120" s="133">
        <v>45140</v>
      </c>
      <c r="H120" s="134">
        <v>22.66</v>
      </c>
      <c r="I120" s="132">
        <f t="shared" si="1"/>
        <v>1.7667849118858921E-3</v>
      </c>
    </row>
    <row r="121" spans="7:9" x14ac:dyDescent="0.3">
      <c r="G121" s="133">
        <v>45141</v>
      </c>
      <c r="H121" s="134">
        <v>22.72</v>
      </c>
      <c r="I121" s="132">
        <f t="shared" si="1"/>
        <v>2.644338253090202E-3</v>
      </c>
    </row>
    <row r="122" spans="7:9" x14ac:dyDescent="0.3">
      <c r="G122" s="133">
        <v>45142</v>
      </c>
      <c r="H122" s="134">
        <v>22.77</v>
      </c>
      <c r="I122" s="132">
        <f t="shared" si="1"/>
        <v>2.1982862226977711E-3</v>
      </c>
    </row>
    <row r="123" spans="7:9" x14ac:dyDescent="0.3">
      <c r="G123" s="133">
        <v>45145</v>
      </c>
      <c r="H123" s="134">
        <v>23.22</v>
      </c>
      <c r="I123" s="132">
        <f t="shared" si="1"/>
        <v>1.9570096194097077E-2</v>
      </c>
    </row>
    <row r="124" spans="7:9" x14ac:dyDescent="0.3">
      <c r="G124" s="133">
        <v>45146</v>
      </c>
      <c r="H124" s="134">
        <v>22.93</v>
      </c>
      <c r="I124" s="132">
        <f t="shared" si="1"/>
        <v>-1.256787939993234E-2</v>
      </c>
    </row>
    <row r="125" spans="7:9" x14ac:dyDescent="0.3">
      <c r="G125" s="133">
        <v>45147</v>
      </c>
      <c r="H125" s="134">
        <v>22.92</v>
      </c>
      <c r="I125" s="132">
        <f t="shared" si="1"/>
        <v>-4.3620502327420429E-4</v>
      </c>
    </row>
    <row r="126" spans="7:9" x14ac:dyDescent="0.3">
      <c r="G126" s="133">
        <v>45148</v>
      </c>
      <c r="H126" s="134">
        <v>22.68</v>
      </c>
      <c r="I126" s="132">
        <f t="shared" si="1"/>
        <v>-1.0526412986987617E-2</v>
      </c>
    </row>
    <row r="127" spans="7:9" x14ac:dyDescent="0.3">
      <c r="G127" s="133">
        <v>45149</v>
      </c>
      <c r="H127" s="134">
        <v>22.9</v>
      </c>
      <c r="I127" s="132">
        <f t="shared" si="1"/>
        <v>9.6534317006425601E-3</v>
      </c>
    </row>
    <row r="128" spans="7:9" x14ac:dyDescent="0.3">
      <c r="G128" s="133">
        <v>45152</v>
      </c>
      <c r="H128" s="134">
        <v>22.69</v>
      </c>
      <c r="I128" s="132">
        <f t="shared" si="1"/>
        <v>-9.2126117684434364E-3</v>
      </c>
    </row>
    <row r="129" spans="7:9" x14ac:dyDescent="0.3">
      <c r="G129" s="133">
        <v>45153</v>
      </c>
      <c r="H129" s="134">
        <v>22.05</v>
      </c>
      <c r="I129" s="132">
        <f t="shared" si="1"/>
        <v>-2.8611696898895412E-2</v>
      </c>
    </row>
    <row r="130" spans="7:9" x14ac:dyDescent="0.3">
      <c r="G130" s="133">
        <v>45154</v>
      </c>
      <c r="H130" s="134">
        <v>21.67</v>
      </c>
      <c r="I130" s="132">
        <f t="shared" si="1"/>
        <v>-1.7383786344587239E-2</v>
      </c>
    </row>
    <row r="131" spans="7:9" x14ac:dyDescent="0.3">
      <c r="G131" s="133">
        <v>45155</v>
      </c>
      <c r="H131" s="134">
        <v>21.75</v>
      </c>
      <c r="I131" s="132">
        <f t="shared" si="1"/>
        <v>3.6849419864253678E-3</v>
      </c>
    </row>
    <row r="132" spans="7:9" x14ac:dyDescent="0.3">
      <c r="G132" s="133">
        <v>45156</v>
      </c>
      <c r="H132" s="134">
        <v>21.93</v>
      </c>
      <c r="I132" s="132">
        <f t="shared" si="1"/>
        <v>8.2418048951037881E-3</v>
      </c>
    </row>
    <row r="133" spans="7:9" x14ac:dyDescent="0.3">
      <c r="G133" s="133">
        <v>45159</v>
      </c>
      <c r="H133" s="134">
        <v>21.64</v>
      </c>
      <c r="I133" s="132">
        <f t="shared" si="1"/>
        <v>-1.3312108451516012E-2</v>
      </c>
    </row>
    <row r="134" spans="7:9" x14ac:dyDescent="0.3">
      <c r="G134" s="133">
        <v>45160</v>
      </c>
      <c r="H134" s="134">
        <v>21.1</v>
      </c>
      <c r="I134" s="132">
        <f t="shared" ref="I134:I197" si="2">LN(H134/H133)</f>
        <v>-2.5270413496259941E-2</v>
      </c>
    </row>
    <row r="135" spans="7:9" x14ac:dyDescent="0.3">
      <c r="G135" s="133">
        <v>45161</v>
      </c>
      <c r="H135" s="134">
        <v>20.91</v>
      </c>
      <c r="I135" s="132">
        <f t="shared" si="2"/>
        <v>-9.0455270414786428E-3</v>
      </c>
    </row>
    <row r="136" spans="7:9" x14ac:dyDescent="0.3">
      <c r="G136" s="133">
        <v>45162</v>
      </c>
      <c r="H136" s="134">
        <v>21.22</v>
      </c>
      <c r="I136" s="132">
        <f t="shared" si="2"/>
        <v>1.471661974529471E-2</v>
      </c>
    </row>
    <row r="137" spans="7:9" x14ac:dyDescent="0.3">
      <c r="G137" s="133">
        <v>45163</v>
      </c>
      <c r="H137" s="134">
        <v>20.84</v>
      </c>
      <c r="I137" s="132">
        <f t="shared" si="2"/>
        <v>-1.8069916300670882E-2</v>
      </c>
    </row>
    <row r="138" spans="7:9" x14ac:dyDescent="0.3">
      <c r="G138" s="133">
        <v>45166</v>
      </c>
      <c r="H138" s="134">
        <v>21.16</v>
      </c>
      <c r="I138" s="132">
        <f t="shared" si="2"/>
        <v>1.5238390104932446E-2</v>
      </c>
    </row>
    <row r="139" spans="7:9" x14ac:dyDescent="0.3">
      <c r="G139" s="133">
        <v>45167</v>
      </c>
      <c r="H139" s="134">
        <v>21.27</v>
      </c>
      <c r="I139" s="132">
        <f t="shared" si="2"/>
        <v>5.1850222220471845E-3</v>
      </c>
    </row>
    <row r="140" spans="7:9" x14ac:dyDescent="0.3">
      <c r="G140" s="133">
        <v>45168</v>
      </c>
      <c r="H140" s="134">
        <v>20.89</v>
      </c>
      <c r="I140" s="132">
        <f t="shared" si="2"/>
        <v>-1.8027053643671374E-2</v>
      </c>
    </row>
    <row r="141" spans="7:9" x14ac:dyDescent="0.3">
      <c r="G141" s="133">
        <v>45169</v>
      </c>
      <c r="H141" s="134">
        <v>20.9</v>
      </c>
      <c r="I141" s="132">
        <f t="shared" si="2"/>
        <v>4.7858340229076654E-4</v>
      </c>
    </row>
    <row r="142" spans="7:9" x14ac:dyDescent="0.3">
      <c r="G142" s="133">
        <v>45170</v>
      </c>
      <c r="H142" s="134">
        <v>21.78</v>
      </c>
      <c r="I142" s="132">
        <f t="shared" si="2"/>
        <v>4.1242958534049218E-2</v>
      </c>
    </row>
    <row r="143" spans="7:9" x14ac:dyDescent="0.3">
      <c r="G143" s="133">
        <v>45173</v>
      </c>
      <c r="H143" s="134">
        <v>21.78</v>
      </c>
      <c r="I143" s="132">
        <f t="shared" si="2"/>
        <v>0</v>
      </c>
    </row>
    <row r="144" spans="7:9" x14ac:dyDescent="0.3">
      <c r="G144" s="133">
        <v>45174</v>
      </c>
      <c r="H144" s="134">
        <v>20.97</v>
      </c>
      <c r="I144" s="132">
        <f t="shared" si="2"/>
        <v>-3.7899272590985932E-2</v>
      </c>
    </row>
    <row r="145" spans="7:9" x14ac:dyDescent="0.3">
      <c r="G145" s="133">
        <v>45175</v>
      </c>
      <c r="H145" s="134">
        <v>20.53</v>
      </c>
      <c r="I145" s="132">
        <f t="shared" si="2"/>
        <v>-2.1205613882986269E-2</v>
      </c>
    </row>
    <row r="146" spans="7:9" x14ac:dyDescent="0.3">
      <c r="G146" s="133">
        <v>45176</v>
      </c>
      <c r="H146" s="134">
        <v>20.3</v>
      </c>
      <c r="I146" s="132">
        <f t="shared" si="2"/>
        <v>-1.1266344983100555E-2</v>
      </c>
    </row>
    <row r="147" spans="7:9" x14ac:dyDescent="0.3">
      <c r="G147" s="133">
        <v>45177</v>
      </c>
      <c r="H147" s="134">
        <v>20.2</v>
      </c>
      <c r="I147" s="132">
        <f t="shared" si="2"/>
        <v>-4.9382816405826773E-3</v>
      </c>
    </row>
    <row r="148" spans="7:9" x14ac:dyDescent="0.3">
      <c r="G148" s="133">
        <v>45180</v>
      </c>
      <c r="H148" s="134">
        <v>20.2</v>
      </c>
      <c r="I148" s="132">
        <f t="shared" si="2"/>
        <v>0</v>
      </c>
    </row>
    <row r="149" spans="7:9" x14ac:dyDescent="0.3">
      <c r="G149" s="133">
        <v>45181</v>
      </c>
      <c r="H149" s="134">
        <v>19.97</v>
      </c>
      <c r="I149" s="132">
        <f t="shared" si="2"/>
        <v>-1.1451456979435238E-2</v>
      </c>
    </row>
    <row r="150" spans="7:9" x14ac:dyDescent="0.3">
      <c r="G150" s="133">
        <v>45182</v>
      </c>
      <c r="H150" s="134">
        <v>19.75</v>
      </c>
      <c r="I150" s="132">
        <f t="shared" si="2"/>
        <v>-1.1077656080592939E-2</v>
      </c>
    </row>
    <row r="151" spans="7:9" x14ac:dyDescent="0.3">
      <c r="G151" s="133">
        <v>45183</v>
      </c>
      <c r="H151" s="134">
        <v>20.54</v>
      </c>
      <c r="I151" s="132">
        <f t="shared" si="2"/>
        <v>3.9220713153281329E-2</v>
      </c>
    </row>
    <row r="152" spans="7:9" x14ac:dyDescent="0.3">
      <c r="G152" s="133">
        <v>45184</v>
      </c>
      <c r="H152" s="134">
        <v>20.13</v>
      </c>
      <c r="I152" s="132">
        <f t="shared" si="2"/>
        <v>-2.0162964848712033E-2</v>
      </c>
    </row>
    <row r="153" spans="7:9" x14ac:dyDescent="0.3">
      <c r="G153" s="133">
        <v>45187</v>
      </c>
      <c r="H153" s="134">
        <v>19.66</v>
      </c>
      <c r="I153" s="132">
        <f t="shared" si="2"/>
        <v>-2.3625124932679618E-2</v>
      </c>
    </row>
    <row r="154" spans="7:9" x14ac:dyDescent="0.3">
      <c r="G154" s="133">
        <v>45188</v>
      </c>
      <c r="H154" s="134">
        <v>19.47</v>
      </c>
      <c r="I154" s="132">
        <f t="shared" si="2"/>
        <v>-9.7112953349122698E-3</v>
      </c>
    </row>
    <row r="155" spans="7:9" x14ac:dyDescent="0.3">
      <c r="G155" s="133">
        <v>45189</v>
      </c>
      <c r="H155" s="134">
        <v>19.489999999999998</v>
      </c>
      <c r="I155" s="132">
        <f t="shared" si="2"/>
        <v>1.0266941353610753E-3</v>
      </c>
    </row>
    <row r="156" spans="7:9" x14ac:dyDescent="0.3">
      <c r="G156" s="133">
        <v>45190</v>
      </c>
      <c r="H156" s="134">
        <v>19.84</v>
      </c>
      <c r="I156" s="132">
        <f t="shared" si="2"/>
        <v>1.7798588337257309E-2</v>
      </c>
    </row>
    <row r="157" spans="7:9" x14ac:dyDescent="0.3">
      <c r="G157" s="133">
        <v>45191</v>
      </c>
      <c r="H157" s="134">
        <v>19.670000000000002</v>
      </c>
      <c r="I157" s="132">
        <f t="shared" si="2"/>
        <v>-8.6054694557588986E-3</v>
      </c>
    </row>
    <row r="158" spans="7:9" x14ac:dyDescent="0.3">
      <c r="G158" s="133">
        <v>45194</v>
      </c>
      <c r="H158" s="134">
        <v>19.77</v>
      </c>
      <c r="I158" s="132">
        <f t="shared" si="2"/>
        <v>5.0710047815577929E-3</v>
      </c>
    </row>
    <row r="159" spans="7:9" x14ac:dyDescent="0.3">
      <c r="G159" s="133">
        <v>45195</v>
      </c>
      <c r="H159" s="134">
        <v>19.54</v>
      </c>
      <c r="I159" s="132">
        <f t="shared" si="2"/>
        <v>-1.1701990567888922E-2</v>
      </c>
    </row>
    <row r="160" spans="7:9" x14ac:dyDescent="0.3">
      <c r="G160" s="133">
        <v>45196</v>
      </c>
      <c r="H160" s="134">
        <v>19.7</v>
      </c>
      <c r="I160" s="132">
        <f t="shared" si="2"/>
        <v>8.1549891293061644E-3</v>
      </c>
    </row>
    <row r="161" spans="7:9" x14ac:dyDescent="0.3">
      <c r="G161" s="133">
        <v>45197</v>
      </c>
      <c r="H161" s="134">
        <v>19.899999999999999</v>
      </c>
      <c r="I161" s="132">
        <f t="shared" si="2"/>
        <v>1.0101095986503919E-2</v>
      </c>
    </row>
    <row r="162" spans="7:9" x14ac:dyDescent="0.3">
      <c r="G162" s="133">
        <v>45198</v>
      </c>
      <c r="H162" s="134">
        <v>20.05</v>
      </c>
      <c r="I162" s="132">
        <f t="shared" si="2"/>
        <v>7.5094220221315683E-3</v>
      </c>
    </row>
    <row r="163" spans="7:9" x14ac:dyDescent="0.3">
      <c r="G163" s="133">
        <v>45201</v>
      </c>
      <c r="H163" s="134">
        <v>20.11</v>
      </c>
      <c r="I163" s="132">
        <f t="shared" si="2"/>
        <v>2.9880500319823889E-3</v>
      </c>
    </row>
    <row r="164" spans="7:9" x14ac:dyDescent="0.3">
      <c r="G164" s="133">
        <v>45202</v>
      </c>
      <c r="H164" s="134">
        <v>19.91</v>
      </c>
      <c r="I164" s="132">
        <f t="shared" si="2"/>
        <v>-9.9950857084556855E-3</v>
      </c>
    </row>
    <row r="165" spans="7:9" x14ac:dyDescent="0.3">
      <c r="G165" s="133">
        <v>45203</v>
      </c>
      <c r="H165" s="134">
        <v>20.02</v>
      </c>
      <c r="I165" s="132">
        <f t="shared" si="2"/>
        <v>5.5096558109694795E-3</v>
      </c>
    </row>
    <row r="166" spans="7:9" x14ac:dyDescent="0.3">
      <c r="G166" s="133">
        <v>45204</v>
      </c>
      <c r="H166" s="134">
        <v>20.32</v>
      </c>
      <c r="I166" s="132">
        <f t="shared" si="2"/>
        <v>1.4873848823206663E-2</v>
      </c>
    </row>
    <row r="167" spans="7:9" x14ac:dyDescent="0.3">
      <c r="G167" s="133">
        <v>45205</v>
      </c>
      <c r="H167" s="134">
        <v>20.37</v>
      </c>
      <c r="I167" s="132">
        <f t="shared" si="2"/>
        <v>2.4576075284334143E-3</v>
      </c>
    </row>
    <row r="168" spans="7:9" x14ac:dyDescent="0.3">
      <c r="G168" s="133">
        <v>45208</v>
      </c>
      <c r="H168" s="134">
        <v>20.45</v>
      </c>
      <c r="I168" s="132">
        <f t="shared" si="2"/>
        <v>3.9196522500962875E-3</v>
      </c>
    </row>
    <row r="169" spans="7:9" x14ac:dyDescent="0.3">
      <c r="G169" s="133">
        <v>45209</v>
      </c>
      <c r="H169" s="134">
        <v>20.81</v>
      </c>
      <c r="I169" s="132">
        <f t="shared" si="2"/>
        <v>1.7450757916732298E-2</v>
      </c>
    </row>
    <row r="170" spans="7:9" x14ac:dyDescent="0.3">
      <c r="G170" s="133">
        <v>45210</v>
      </c>
      <c r="H170" s="134">
        <v>20.91</v>
      </c>
      <c r="I170" s="132">
        <f t="shared" si="2"/>
        <v>4.7938730349992202E-3</v>
      </c>
    </row>
    <row r="171" spans="7:9" x14ac:dyDescent="0.3">
      <c r="G171" s="133">
        <v>45211</v>
      </c>
      <c r="H171" s="134">
        <v>20.51</v>
      </c>
      <c r="I171" s="132">
        <f t="shared" si="2"/>
        <v>-1.9314941356252883E-2</v>
      </c>
    </row>
    <row r="172" spans="7:9" x14ac:dyDescent="0.3">
      <c r="G172" s="133">
        <v>45212</v>
      </c>
      <c r="H172" s="134">
        <v>20.170000000000002</v>
      </c>
      <c r="I172" s="132">
        <f t="shared" si="2"/>
        <v>-1.6716220118168784E-2</v>
      </c>
    </row>
    <row r="173" spans="7:9" x14ac:dyDescent="0.3">
      <c r="G173" s="133">
        <v>45215</v>
      </c>
      <c r="H173" s="134">
        <v>20.48</v>
      </c>
      <c r="I173" s="132">
        <f t="shared" si="2"/>
        <v>1.5252448205186557E-2</v>
      </c>
    </row>
    <row r="174" spans="7:9" x14ac:dyDescent="0.3">
      <c r="G174" s="133">
        <v>45216</v>
      </c>
      <c r="H174" s="134">
        <v>20.95</v>
      </c>
      <c r="I174" s="132">
        <f t="shared" si="2"/>
        <v>2.26898461968397E-2</v>
      </c>
    </row>
    <row r="175" spans="7:9" x14ac:dyDescent="0.3">
      <c r="G175" s="133">
        <v>45217</v>
      </c>
      <c r="H175" s="134">
        <v>20.37</v>
      </c>
      <c r="I175" s="132">
        <f t="shared" si="2"/>
        <v>-2.8075416129432238E-2</v>
      </c>
    </row>
    <row r="176" spans="7:9" x14ac:dyDescent="0.3">
      <c r="G176" s="133">
        <v>45218</v>
      </c>
      <c r="H176" s="134">
        <v>20.04</v>
      </c>
      <c r="I176" s="132">
        <f t="shared" si="2"/>
        <v>-1.6332954022050455E-2</v>
      </c>
    </row>
    <row r="177" spans="7:9" x14ac:dyDescent="0.3">
      <c r="G177" s="133">
        <v>45219</v>
      </c>
      <c r="H177" s="134">
        <v>18.68</v>
      </c>
      <c r="I177" s="132">
        <f t="shared" si="2"/>
        <v>-7.0276843415967502E-2</v>
      </c>
    </row>
    <row r="178" spans="7:9" x14ac:dyDescent="0.3">
      <c r="G178" s="133">
        <v>45222</v>
      </c>
      <c r="H178" s="134">
        <v>18.989999999999998</v>
      </c>
      <c r="I178" s="132">
        <f t="shared" si="2"/>
        <v>1.6459092023497962E-2</v>
      </c>
    </row>
    <row r="179" spans="7:9" x14ac:dyDescent="0.3">
      <c r="G179" s="133">
        <v>45223</v>
      </c>
      <c r="H179" s="134">
        <v>18.48</v>
      </c>
      <c r="I179" s="132">
        <f t="shared" si="2"/>
        <v>-2.7223458610656313E-2</v>
      </c>
    </row>
    <row r="180" spans="7:9" x14ac:dyDescent="0.3">
      <c r="G180" s="133">
        <v>45224</v>
      </c>
      <c r="H180" s="134">
        <v>18.760000000000002</v>
      </c>
      <c r="I180" s="132">
        <f t="shared" si="2"/>
        <v>1.5037877364540502E-2</v>
      </c>
    </row>
    <row r="181" spans="7:9" x14ac:dyDescent="0.3">
      <c r="G181" s="133">
        <v>45225</v>
      </c>
      <c r="H181" s="134">
        <v>19.57</v>
      </c>
      <c r="I181" s="132">
        <f t="shared" si="2"/>
        <v>4.2270837829906253E-2</v>
      </c>
    </row>
    <row r="182" spans="7:9" x14ac:dyDescent="0.3">
      <c r="G182" s="133">
        <v>45226</v>
      </c>
      <c r="H182" s="134">
        <v>19.34</v>
      </c>
      <c r="I182" s="132">
        <f t="shared" si="2"/>
        <v>-1.1822291382836572E-2</v>
      </c>
    </row>
    <row r="183" spans="7:9" x14ac:dyDescent="0.3">
      <c r="G183" s="133">
        <v>45229</v>
      </c>
      <c r="H183" s="134">
        <v>19.600000000000001</v>
      </c>
      <c r="I183" s="132">
        <f t="shared" si="2"/>
        <v>1.3354076211323295E-2</v>
      </c>
    </row>
    <row r="184" spans="7:9" x14ac:dyDescent="0.3">
      <c r="G184" s="133">
        <v>45230</v>
      </c>
      <c r="H184" s="134">
        <v>19.61</v>
      </c>
      <c r="I184" s="132">
        <f t="shared" si="2"/>
        <v>5.1007397178320511E-4</v>
      </c>
    </row>
    <row r="185" spans="7:9" x14ac:dyDescent="0.3">
      <c r="G185" s="133">
        <v>45231</v>
      </c>
      <c r="H185" s="134">
        <v>19.89</v>
      </c>
      <c r="I185" s="132">
        <f t="shared" si="2"/>
        <v>1.4177452657626053E-2</v>
      </c>
    </row>
    <row r="186" spans="7:9" x14ac:dyDescent="0.3">
      <c r="G186" s="133">
        <v>45232</v>
      </c>
      <c r="H186" s="134">
        <v>20.69</v>
      </c>
      <c r="I186" s="132">
        <f t="shared" si="2"/>
        <v>3.9433398891570909E-2</v>
      </c>
    </row>
    <row r="187" spans="7:9" x14ac:dyDescent="0.3">
      <c r="G187" s="133">
        <v>45233</v>
      </c>
      <c r="H187" s="134">
        <v>21.24</v>
      </c>
      <c r="I187" s="132">
        <f t="shared" si="2"/>
        <v>2.6235704616286212E-2</v>
      </c>
    </row>
    <row r="188" spans="7:9" x14ac:dyDescent="0.3">
      <c r="G188" s="133">
        <v>45236</v>
      </c>
      <c r="H188" s="134">
        <v>20.98</v>
      </c>
      <c r="I188" s="132">
        <f t="shared" si="2"/>
        <v>-1.2316593405586872E-2</v>
      </c>
    </row>
    <row r="189" spans="7:9" x14ac:dyDescent="0.3">
      <c r="G189" s="133">
        <v>45237</v>
      </c>
      <c r="H189" s="134">
        <v>20.58</v>
      </c>
      <c r="I189" s="132">
        <f t="shared" si="2"/>
        <v>-1.9249872562247663E-2</v>
      </c>
    </row>
    <row r="190" spans="7:9" x14ac:dyDescent="0.3">
      <c r="G190" s="133">
        <v>45238</v>
      </c>
      <c r="H190" s="134">
        <v>20.36</v>
      </c>
      <c r="I190" s="132">
        <f t="shared" si="2"/>
        <v>-1.074753872358147E-2</v>
      </c>
    </row>
    <row r="191" spans="7:9" x14ac:dyDescent="0.3">
      <c r="G191" s="133">
        <v>45239</v>
      </c>
      <c r="H191" s="134">
        <v>20.22</v>
      </c>
      <c r="I191" s="132">
        <f t="shared" si="2"/>
        <v>-6.899978089996664E-3</v>
      </c>
    </row>
    <row r="192" spans="7:9" x14ac:dyDescent="0.3">
      <c r="G192" s="133">
        <v>45240</v>
      </c>
      <c r="H192" s="134">
        <v>20.32</v>
      </c>
      <c r="I192" s="132">
        <f t="shared" si="2"/>
        <v>4.9334091179557716E-3</v>
      </c>
    </row>
    <row r="193" spans="7:9" x14ac:dyDescent="0.3">
      <c r="G193" s="133">
        <v>45243</v>
      </c>
      <c r="H193" s="134">
        <v>20.329999999999998</v>
      </c>
      <c r="I193" s="132">
        <f t="shared" si="2"/>
        <v>4.9200492997401076E-4</v>
      </c>
    </row>
    <row r="194" spans="7:9" x14ac:dyDescent="0.3">
      <c r="G194" s="133">
        <v>45244</v>
      </c>
      <c r="H194" s="134">
        <v>21.72</v>
      </c>
      <c r="I194" s="132">
        <f t="shared" si="2"/>
        <v>6.6135867425479555E-2</v>
      </c>
    </row>
    <row r="195" spans="7:9" x14ac:dyDescent="0.3">
      <c r="G195" s="133">
        <v>45245</v>
      </c>
      <c r="H195" s="134">
        <v>21.56</v>
      </c>
      <c r="I195" s="132">
        <f t="shared" si="2"/>
        <v>-7.3937490249382648E-3</v>
      </c>
    </row>
    <row r="196" spans="7:9" x14ac:dyDescent="0.3">
      <c r="G196" s="133">
        <v>45246</v>
      </c>
      <c r="H196" s="134">
        <v>21.17</v>
      </c>
      <c r="I196" s="132">
        <f t="shared" si="2"/>
        <v>-1.8254660894022456E-2</v>
      </c>
    </row>
    <row r="197" spans="7:9" x14ac:dyDescent="0.3">
      <c r="G197" s="133">
        <v>45247</v>
      </c>
      <c r="H197" s="134">
        <v>21.52</v>
      </c>
      <c r="I197" s="132">
        <f t="shared" si="2"/>
        <v>1.6397650146809786E-2</v>
      </c>
    </row>
    <row r="198" spans="7:9" x14ac:dyDescent="0.3">
      <c r="G198" s="133">
        <v>45250</v>
      </c>
      <c r="H198" s="134">
        <v>21.41</v>
      </c>
      <c r="I198" s="132">
        <f t="shared" ref="I198:I261" si="3">LN(H198/H197)</f>
        <v>-5.1246326919922123E-3</v>
      </c>
    </row>
    <row r="199" spans="7:9" x14ac:dyDescent="0.3">
      <c r="G199" s="133">
        <v>45251</v>
      </c>
      <c r="H199" s="134">
        <v>20.89</v>
      </c>
      <c r="I199" s="132">
        <f t="shared" si="3"/>
        <v>-2.4587527033116997E-2</v>
      </c>
    </row>
    <row r="200" spans="7:9" x14ac:dyDescent="0.3">
      <c r="G200" s="133">
        <v>45252</v>
      </c>
      <c r="H200" s="134">
        <v>21.05</v>
      </c>
      <c r="I200" s="132">
        <f t="shared" si="3"/>
        <v>7.6299845599160608E-3</v>
      </c>
    </row>
    <row r="201" spans="7:9" x14ac:dyDescent="0.3">
      <c r="G201" s="133">
        <v>45253</v>
      </c>
      <c r="H201" s="134">
        <v>21.05</v>
      </c>
      <c r="I201" s="132">
        <f t="shared" si="3"/>
        <v>0</v>
      </c>
    </row>
    <row r="202" spans="7:9" x14ac:dyDescent="0.3">
      <c r="G202" s="133">
        <v>45254</v>
      </c>
      <c r="H202" s="134">
        <v>21.12</v>
      </c>
      <c r="I202" s="132">
        <f t="shared" si="3"/>
        <v>3.3198987096702223E-3</v>
      </c>
    </row>
    <row r="203" spans="7:9" x14ac:dyDescent="0.3">
      <c r="G203" s="133">
        <v>45257</v>
      </c>
      <c r="H203" s="134">
        <v>21.05</v>
      </c>
      <c r="I203" s="132">
        <f t="shared" si="3"/>
        <v>-3.319898709670283E-3</v>
      </c>
    </row>
    <row r="204" spans="7:9" x14ac:dyDescent="0.3">
      <c r="G204" s="133">
        <v>45258</v>
      </c>
      <c r="H204" s="134">
        <v>20.96</v>
      </c>
      <c r="I204" s="132">
        <f t="shared" si="3"/>
        <v>-4.2847006755489577E-3</v>
      </c>
    </row>
    <row r="205" spans="7:9" x14ac:dyDescent="0.3">
      <c r="G205" s="133">
        <v>45259</v>
      </c>
      <c r="H205" s="134">
        <v>21.07</v>
      </c>
      <c r="I205" s="132">
        <f t="shared" si="3"/>
        <v>5.2343683632563223E-3</v>
      </c>
    </row>
    <row r="206" spans="7:9" x14ac:dyDescent="0.3">
      <c r="G206" s="133">
        <v>45260</v>
      </c>
      <c r="H206" s="134">
        <v>20.93</v>
      </c>
      <c r="I206" s="132">
        <f t="shared" si="3"/>
        <v>-6.6666913581893451E-3</v>
      </c>
    </row>
    <row r="207" spans="7:9" x14ac:dyDescent="0.3">
      <c r="G207" s="133">
        <v>45261</v>
      </c>
      <c r="H207" s="134">
        <v>21.98</v>
      </c>
      <c r="I207" s="132">
        <f t="shared" si="3"/>
        <v>4.8949412517566911E-2</v>
      </c>
    </row>
    <row r="208" spans="7:9" x14ac:dyDescent="0.3">
      <c r="G208" s="133">
        <v>45264</v>
      </c>
      <c r="H208" s="134">
        <v>22.32</v>
      </c>
      <c r="I208" s="132">
        <f t="shared" si="3"/>
        <v>1.5350188537634851E-2</v>
      </c>
    </row>
    <row r="209" spans="7:9" x14ac:dyDescent="0.3">
      <c r="G209" s="133">
        <v>45265</v>
      </c>
      <c r="H209" s="134">
        <v>22.11</v>
      </c>
      <c r="I209" s="132">
        <f t="shared" si="3"/>
        <v>-9.4531426437552534E-3</v>
      </c>
    </row>
    <row r="210" spans="7:9" x14ac:dyDescent="0.3">
      <c r="G210" s="133">
        <v>45266</v>
      </c>
      <c r="H210" s="134">
        <v>22.32</v>
      </c>
      <c r="I210" s="132">
        <f t="shared" si="3"/>
        <v>9.4531426437553297E-3</v>
      </c>
    </row>
    <row r="211" spans="7:9" x14ac:dyDescent="0.3">
      <c r="G211" s="133">
        <v>45267</v>
      </c>
      <c r="H211" s="134">
        <v>22.79</v>
      </c>
      <c r="I211" s="132">
        <f t="shared" si="3"/>
        <v>2.0838705744482718E-2</v>
      </c>
    </row>
    <row r="212" spans="7:9" x14ac:dyDescent="0.3">
      <c r="G212" s="133">
        <v>45268</v>
      </c>
      <c r="H212" s="134">
        <v>23.08</v>
      </c>
      <c r="I212" s="132">
        <f t="shared" si="3"/>
        <v>1.2644598382305899E-2</v>
      </c>
    </row>
    <row r="213" spans="7:9" x14ac:dyDescent="0.3">
      <c r="G213" s="133">
        <v>45271</v>
      </c>
      <c r="H213" s="134">
        <v>22.98</v>
      </c>
      <c r="I213" s="132">
        <f t="shared" si="3"/>
        <v>-4.3421692192891527E-3</v>
      </c>
    </row>
    <row r="214" spans="7:9" x14ac:dyDescent="0.3">
      <c r="G214" s="133">
        <v>45272</v>
      </c>
      <c r="H214" s="134">
        <v>22.77</v>
      </c>
      <c r="I214" s="132">
        <f t="shared" si="3"/>
        <v>-9.1803923449613641E-3</v>
      </c>
    </row>
    <row r="215" spans="7:9" x14ac:dyDescent="0.3">
      <c r="G215" s="133">
        <v>45273</v>
      </c>
      <c r="H215" s="134">
        <v>24.68</v>
      </c>
      <c r="I215" s="132">
        <f t="shared" si="3"/>
        <v>8.0549318961538829E-2</v>
      </c>
    </row>
    <row r="216" spans="7:9" x14ac:dyDescent="0.3">
      <c r="G216" s="133">
        <v>45274</v>
      </c>
      <c r="H216" s="134">
        <v>25.16</v>
      </c>
      <c r="I216" s="132">
        <f t="shared" si="3"/>
        <v>1.9262232795052708E-2</v>
      </c>
    </row>
    <row r="217" spans="7:9" x14ac:dyDescent="0.3">
      <c r="G217" s="133">
        <v>45275</v>
      </c>
      <c r="H217" s="134">
        <v>24.85</v>
      </c>
      <c r="I217" s="132">
        <f t="shared" si="3"/>
        <v>-1.239767928960204E-2</v>
      </c>
    </row>
    <row r="218" spans="7:9" x14ac:dyDescent="0.3">
      <c r="G218" s="133">
        <v>45278</v>
      </c>
      <c r="H218" s="134">
        <v>24.77</v>
      </c>
      <c r="I218" s="132">
        <f t="shared" si="3"/>
        <v>-3.224509041369587E-3</v>
      </c>
    </row>
    <row r="219" spans="7:9" x14ac:dyDescent="0.3">
      <c r="G219" s="133">
        <v>45279</v>
      </c>
      <c r="H219" s="134">
        <v>25.07</v>
      </c>
      <c r="I219" s="132">
        <f t="shared" si="3"/>
        <v>1.2038668668933914E-2</v>
      </c>
    </row>
    <row r="220" spans="7:9" x14ac:dyDescent="0.3">
      <c r="G220" s="133">
        <v>45280</v>
      </c>
      <c r="H220" s="134">
        <v>24.71</v>
      </c>
      <c r="I220" s="132">
        <f t="shared" si="3"/>
        <v>-1.4463892169683286E-2</v>
      </c>
    </row>
    <row r="221" spans="7:9" x14ac:dyDescent="0.3">
      <c r="G221" s="133">
        <v>45281</v>
      </c>
      <c r="H221" s="134">
        <v>24.94</v>
      </c>
      <c r="I221" s="132">
        <f t="shared" si="3"/>
        <v>9.2649202513716469E-3</v>
      </c>
    </row>
    <row r="222" spans="7:9" x14ac:dyDescent="0.3">
      <c r="G222" s="133">
        <v>45282</v>
      </c>
      <c r="H222" s="134">
        <v>25.03</v>
      </c>
      <c r="I222" s="132">
        <f t="shared" si="3"/>
        <v>3.6021651917923919E-3</v>
      </c>
    </row>
    <row r="223" spans="7:9" x14ac:dyDescent="0.3">
      <c r="G223" s="133">
        <v>45285</v>
      </c>
      <c r="H223" s="134">
        <v>25.03</v>
      </c>
      <c r="I223" s="132">
        <f t="shared" si="3"/>
        <v>0</v>
      </c>
    </row>
    <row r="224" spans="7:9" x14ac:dyDescent="0.3">
      <c r="G224" s="133">
        <v>45286</v>
      </c>
      <c r="H224" s="134">
        <v>25.48</v>
      </c>
      <c r="I224" s="132">
        <f t="shared" si="3"/>
        <v>1.781872526027975E-2</v>
      </c>
    </row>
    <row r="225" spans="7:9" x14ac:dyDescent="0.3">
      <c r="G225" s="133">
        <v>45287</v>
      </c>
      <c r="H225" s="134">
        <v>25.45</v>
      </c>
      <c r="I225" s="132">
        <f t="shared" si="3"/>
        <v>-1.1780877074309387E-3</v>
      </c>
    </row>
    <row r="226" spans="7:9" x14ac:dyDescent="0.3">
      <c r="G226" s="133">
        <v>45288</v>
      </c>
      <c r="H226" s="134">
        <v>25.27</v>
      </c>
      <c r="I226" s="132">
        <f t="shared" si="3"/>
        <v>-7.097821596428828E-3</v>
      </c>
    </row>
    <row r="227" spans="7:9" x14ac:dyDescent="0.3">
      <c r="G227" s="133">
        <v>45289</v>
      </c>
      <c r="H227" s="134">
        <v>24.83</v>
      </c>
      <c r="I227" s="132">
        <f t="shared" si="3"/>
        <v>-1.7565321880027657E-2</v>
      </c>
    </row>
    <row r="228" spans="7:9" x14ac:dyDescent="0.3">
      <c r="G228" s="133">
        <v>45292</v>
      </c>
      <c r="H228" s="134">
        <v>24.83</v>
      </c>
      <c r="I228" s="132">
        <f t="shared" si="3"/>
        <v>0</v>
      </c>
    </row>
    <row r="229" spans="7:9" x14ac:dyDescent="0.3">
      <c r="G229" s="133">
        <v>45293</v>
      </c>
      <c r="H229" s="134">
        <v>24.82</v>
      </c>
      <c r="I229" s="132">
        <f t="shared" si="3"/>
        <v>-4.0281974361402648E-4</v>
      </c>
    </row>
    <row r="230" spans="7:9" x14ac:dyDescent="0.3">
      <c r="G230" s="133">
        <v>45294</v>
      </c>
      <c r="H230" s="134">
        <v>24.1</v>
      </c>
      <c r="I230" s="132">
        <f t="shared" si="3"/>
        <v>-2.9437939279851843E-2</v>
      </c>
    </row>
    <row r="231" spans="7:9" x14ac:dyDescent="0.3">
      <c r="G231" s="133">
        <v>45295</v>
      </c>
      <c r="H231" s="134">
        <v>24.25</v>
      </c>
      <c r="I231" s="132">
        <f t="shared" si="3"/>
        <v>6.2047768868828696E-3</v>
      </c>
    </row>
    <row r="232" spans="7:9" x14ac:dyDescent="0.3">
      <c r="G232" s="133">
        <v>45296</v>
      </c>
      <c r="H232" s="134">
        <v>24.29</v>
      </c>
      <c r="I232" s="132">
        <f t="shared" si="3"/>
        <v>1.6481256305888317E-3</v>
      </c>
    </row>
    <row r="233" spans="7:9" x14ac:dyDescent="0.3">
      <c r="G233" s="133">
        <v>45299</v>
      </c>
      <c r="H233" s="134">
        <v>24.29</v>
      </c>
      <c r="I233" s="132">
        <f t="shared" si="3"/>
        <v>0</v>
      </c>
    </row>
    <row r="234" spans="7:9" x14ac:dyDescent="0.3">
      <c r="G234" s="133">
        <v>45300</v>
      </c>
      <c r="H234" s="134">
        <v>23.85</v>
      </c>
      <c r="I234" s="132">
        <f t="shared" si="3"/>
        <v>-1.8280525679730826E-2</v>
      </c>
    </row>
    <row r="235" spans="7:9" x14ac:dyDescent="0.3">
      <c r="G235" s="133">
        <v>45301</v>
      </c>
      <c r="H235" s="134">
        <v>24.57</v>
      </c>
      <c r="I235" s="132">
        <f t="shared" si="3"/>
        <v>2.9741969198737516E-2</v>
      </c>
    </row>
    <row r="236" spans="7:9" x14ac:dyDescent="0.3">
      <c r="G236" s="133">
        <v>45302</v>
      </c>
      <c r="H236" s="134">
        <v>23.91</v>
      </c>
      <c r="I236" s="132">
        <f t="shared" si="3"/>
        <v>-2.72294050628544E-2</v>
      </c>
    </row>
    <row r="237" spans="7:9" x14ac:dyDescent="0.3">
      <c r="G237" s="133">
        <v>45303</v>
      </c>
      <c r="H237" s="134">
        <v>23.86</v>
      </c>
      <c r="I237" s="132">
        <f t="shared" si="3"/>
        <v>-2.0933648004633435E-3</v>
      </c>
    </row>
    <row r="238" spans="7:9" x14ac:dyDescent="0.3">
      <c r="G238" s="133">
        <v>45306</v>
      </c>
      <c r="H238" s="134">
        <v>23.86</v>
      </c>
      <c r="I238" s="132">
        <f t="shared" si="3"/>
        <v>0</v>
      </c>
    </row>
    <row r="239" spans="7:9" x14ac:dyDescent="0.3">
      <c r="G239" s="133">
        <v>45307</v>
      </c>
      <c r="H239" s="134">
        <v>23.75</v>
      </c>
      <c r="I239" s="132">
        <f t="shared" si="3"/>
        <v>-4.6208861891198034E-3</v>
      </c>
    </row>
    <row r="240" spans="7:9" x14ac:dyDescent="0.3">
      <c r="G240" s="133">
        <v>45308</v>
      </c>
      <c r="H240" s="134">
        <v>23.53</v>
      </c>
      <c r="I240" s="132">
        <f t="shared" si="3"/>
        <v>-9.3063277413790082E-3</v>
      </c>
    </row>
    <row r="241" spans="7:9" x14ac:dyDescent="0.3">
      <c r="G241" s="133">
        <v>45309</v>
      </c>
      <c r="H241" s="134">
        <v>23.52</v>
      </c>
      <c r="I241" s="132">
        <f t="shared" si="3"/>
        <v>-4.2507970884501944E-4</v>
      </c>
    </row>
    <row r="242" spans="7:9" x14ac:dyDescent="0.3">
      <c r="G242" s="133">
        <v>45310</v>
      </c>
      <c r="H242" s="134">
        <v>23.6</v>
      </c>
      <c r="I242" s="132">
        <f t="shared" si="3"/>
        <v>3.3955890011383287E-3</v>
      </c>
    </row>
    <row r="243" spans="7:9" x14ac:dyDescent="0.3">
      <c r="G243" s="133">
        <v>45313</v>
      </c>
      <c r="H243" s="134">
        <v>24.59</v>
      </c>
      <c r="I243" s="132">
        <f t="shared" si="3"/>
        <v>4.1093144196536681E-2</v>
      </c>
    </row>
    <row r="244" spans="7:9" x14ac:dyDescent="0.3">
      <c r="G244" s="133">
        <v>45314</v>
      </c>
      <c r="H244" s="134">
        <v>24.29</v>
      </c>
      <c r="I244" s="132">
        <f t="shared" si="3"/>
        <v>-1.2275113214020132E-2</v>
      </c>
    </row>
    <row r="245" spans="7:9" x14ac:dyDescent="0.3">
      <c r="G245" s="133">
        <v>45315</v>
      </c>
      <c r="H245" s="134">
        <v>24.42</v>
      </c>
      <c r="I245" s="132">
        <f t="shared" si="3"/>
        <v>5.3377256684776168E-3</v>
      </c>
    </row>
    <row r="246" spans="7:9" x14ac:dyDescent="0.3">
      <c r="G246" s="133">
        <v>45316</v>
      </c>
      <c r="H246" s="134">
        <v>24.51</v>
      </c>
      <c r="I246" s="132">
        <f t="shared" si="3"/>
        <v>3.6787288574625884E-3</v>
      </c>
    </row>
    <row r="247" spans="7:9" x14ac:dyDescent="0.3">
      <c r="G247" s="133">
        <v>45317</v>
      </c>
      <c r="H247" s="134">
        <v>24.59</v>
      </c>
      <c r="I247" s="132">
        <f t="shared" si="3"/>
        <v>3.2586586880798568E-3</v>
      </c>
    </row>
    <row r="248" spans="7:9" x14ac:dyDescent="0.3">
      <c r="G248" s="133">
        <v>45320</v>
      </c>
      <c r="H248" s="134">
        <v>25.16</v>
      </c>
      <c r="I248" s="132">
        <f t="shared" si="3"/>
        <v>2.2915575604138524E-2</v>
      </c>
    </row>
    <row r="249" spans="7:9" x14ac:dyDescent="0.3">
      <c r="G249" s="133">
        <v>45321</v>
      </c>
      <c r="H249" s="134">
        <v>25.05</v>
      </c>
      <c r="I249" s="132">
        <f t="shared" si="3"/>
        <v>-4.3816043013659512E-3</v>
      </c>
    </row>
    <row r="250" spans="7:9" x14ac:dyDescent="0.3">
      <c r="G250" s="133">
        <v>45322</v>
      </c>
      <c r="H250" s="134">
        <v>24</v>
      </c>
      <c r="I250" s="132">
        <f t="shared" si="3"/>
        <v>-4.2819997182928185E-2</v>
      </c>
    </row>
    <row r="251" spans="7:9" x14ac:dyDescent="0.3">
      <c r="G251" s="133">
        <v>45323</v>
      </c>
      <c r="H251" s="134">
        <v>23.23</v>
      </c>
      <c r="I251" s="132">
        <f t="shared" si="3"/>
        <v>-3.2609283565627867E-2</v>
      </c>
    </row>
    <row r="252" spans="7:9" x14ac:dyDescent="0.3">
      <c r="G252" s="133">
        <v>45324</v>
      </c>
      <c r="H252" s="134">
        <v>23.07</v>
      </c>
      <c r="I252" s="132">
        <f t="shared" si="3"/>
        <v>-6.9114745966554481E-3</v>
      </c>
    </row>
    <row r="253" spans="7:9" x14ac:dyDescent="0.3">
      <c r="G253" s="133">
        <v>45327</v>
      </c>
      <c r="H253" s="134">
        <v>22.6</v>
      </c>
      <c r="I253" s="132">
        <f t="shared" si="3"/>
        <v>-2.0583165907422051E-2</v>
      </c>
    </row>
    <row r="254" spans="7:9" x14ac:dyDescent="0.3">
      <c r="G254" s="133">
        <v>45328</v>
      </c>
      <c r="H254" s="134">
        <v>22.32</v>
      </c>
      <c r="I254" s="132">
        <f t="shared" si="3"/>
        <v>-1.2466768765130047E-2</v>
      </c>
    </row>
    <row r="255" spans="7:9" x14ac:dyDescent="0.3">
      <c r="G255" s="133">
        <v>45329</v>
      </c>
      <c r="H255" s="134">
        <v>22.2</v>
      </c>
      <c r="I255" s="132">
        <f t="shared" si="3"/>
        <v>-5.3908486348764233E-3</v>
      </c>
    </row>
    <row r="256" spans="7:9" x14ac:dyDescent="0.3">
      <c r="G256" s="133">
        <v>45330</v>
      </c>
      <c r="H256" s="134">
        <v>22.64</v>
      </c>
      <c r="I256" s="132">
        <f t="shared" si="3"/>
        <v>1.9625964456748444E-2</v>
      </c>
    </row>
    <row r="257" spans="7:9" x14ac:dyDescent="0.3">
      <c r="G257" s="133">
        <v>45331</v>
      </c>
      <c r="H257" s="134">
        <v>22.74</v>
      </c>
      <c r="I257" s="132">
        <f t="shared" si="3"/>
        <v>4.4072349874076057E-3</v>
      </c>
    </row>
    <row r="258" spans="7:9" x14ac:dyDescent="0.3">
      <c r="G258" s="133">
        <v>45334</v>
      </c>
      <c r="H258" s="134">
        <v>23.06</v>
      </c>
      <c r="I258" s="132">
        <f t="shared" si="3"/>
        <v>1.3974026518522963E-2</v>
      </c>
    </row>
    <row r="259" spans="7:9" x14ac:dyDescent="0.3">
      <c r="G259" s="133">
        <v>45335</v>
      </c>
      <c r="H259" s="134">
        <v>21.88</v>
      </c>
      <c r="I259" s="132">
        <f t="shared" si="3"/>
        <v>-5.252653728713251E-2</v>
      </c>
    </row>
    <row r="260" spans="7:9" x14ac:dyDescent="0.3">
      <c r="G260" s="133">
        <v>45336</v>
      </c>
      <c r="H260" s="134">
        <v>22.04</v>
      </c>
      <c r="I260" s="132">
        <f t="shared" si="3"/>
        <v>7.2860067309333133E-3</v>
      </c>
    </row>
    <row r="261" spans="7:9" x14ac:dyDescent="0.3">
      <c r="G261" s="133">
        <v>45337</v>
      </c>
      <c r="H261" s="134">
        <v>22.73</v>
      </c>
      <c r="I261" s="132">
        <f t="shared" si="3"/>
        <v>3.0826653579738125E-2</v>
      </c>
    </row>
    <row r="262" spans="7:9" x14ac:dyDescent="0.3">
      <c r="G262" s="133">
        <v>45338</v>
      </c>
      <c r="H262" s="134">
        <v>22.37</v>
      </c>
      <c r="I262" s="132">
        <f>LN(H262/H261)</f>
        <v>-1.596486236241354E-2</v>
      </c>
    </row>
    <row r="263" spans="7:9" x14ac:dyDescent="0.3">
      <c r="G263" s="133">
        <v>45341</v>
      </c>
      <c r="H263" s="134">
        <v>22.37</v>
      </c>
      <c r="I263" s="132">
        <f>LN(H263/H262)</f>
        <v>0</v>
      </c>
    </row>
    <row r="264" spans="7:9" x14ac:dyDescent="0.3">
      <c r="G264" s="133">
        <v>45342</v>
      </c>
      <c r="H264" s="134">
        <v>22.5</v>
      </c>
      <c r="I264" s="132">
        <f>LN(H264/H263)</f>
        <v>5.7945337083360913E-3</v>
      </c>
    </row>
  </sheetData>
  <hyperlinks>
    <hyperlink ref="B83" location="Assumptions!A1" display="Jump to front" xr:uid="{E14D4E2D-BF9E-4A1B-8B09-207A24A848A4}"/>
  </hyperlinks>
  <pageMargins left="0.7" right="0.7" top="0.75" bottom="0.75" header="0.3" footer="0.3"/>
  <pageSetup orientation="portrait"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A1C0D-81E5-447D-B343-04EAA321BB44}">
  <dimension ref="A1:J256"/>
  <sheetViews>
    <sheetView workbookViewId="0">
      <selection activeCell="J3" sqref="J3"/>
    </sheetView>
  </sheetViews>
  <sheetFormatPr defaultColWidth="9.109375" defaultRowHeight="13.8" x14ac:dyDescent="0.3"/>
  <cols>
    <col min="1" max="1" width="9.33203125" style="150" bestFit="1" customWidth="1"/>
    <col min="2" max="2" width="9.109375" style="17"/>
    <col min="3" max="3" width="9.109375" style="23"/>
    <col min="4" max="4" width="9.109375" style="1"/>
    <col min="5" max="5" width="46.44140625" style="1" bestFit="1" customWidth="1"/>
    <col min="6" max="7" width="9.109375" style="1"/>
    <col min="8" max="8" width="12.44140625" style="1" bestFit="1" customWidth="1"/>
    <col min="9" max="10" width="9.77734375" style="1" bestFit="1" customWidth="1"/>
    <col min="11" max="16384" width="9.109375" style="1"/>
  </cols>
  <sheetData>
    <row r="1" spans="1:10" x14ac:dyDescent="0.3">
      <c r="A1" s="150" t="s">
        <v>102</v>
      </c>
      <c r="B1" s="17" t="s">
        <v>103</v>
      </c>
      <c r="C1" s="23" t="s">
        <v>345</v>
      </c>
      <c r="D1" s="23"/>
      <c r="E1" s="1" t="s">
        <v>185</v>
      </c>
      <c r="F1" s="176">
        <v>434.23</v>
      </c>
      <c r="H1" s="1" t="s">
        <v>346</v>
      </c>
      <c r="I1" s="30">
        <f>F6</f>
        <v>100</v>
      </c>
    </row>
    <row r="2" spans="1:10" x14ac:dyDescent="0.3">
      <c r="A2" s="150">
        <v>44245</v>
      </c>
      <c r="B2" s="17">
        <v>390.72</v>
      </c>
      <c r="D2" s="23"/>
      <c r="E2" s="1" t="s">
        <v>347</v>
      </c>
      <c r="F2" s="175">
        <v>254</v>
      </c>
      <c r="H2" s="1" t="s">
        <v>348</v>
      </c>
      <c r="I2" s="17">
        <f>I1/F14</f>
        <v>505.76104235730764</v>
      </c>
      <c r="J2" s="1" t="s">
        <v>364</v>
      </c>
    </row>
    <row r="3" spans="1:10" x14ac:dyDescent="0.3">
      <c r="A3" s="150">
        <v>44246</v>
      </c>
      <c r="B3" s="17">
        <v>390.03</v>
      </c>
      <c r="C3" s="23">
        <f>LN(B3/B2)</f>
        <v>-1.7675316801529283E-3</v>
      </c>
      <c r="D3" s="23"/>
      <c r="E3" s="1" t="s">
        <v>0</v>
      </c>
      <c r="F3" s="176">
        <v>420</v>
      </c>
      <c r="H3" s="227" t="s">
        <v>349</v>
      </c>
      <c r="I3" s="232">
        <f>F7</f>
        <v>408</v>
      </c>
    </row>
    <row r="4" spans="1:10" x14ac:dyDescent="0.3">
      <c r="A4" s="150">
        <v>44249</v>
      </c>
      <c r="B4" s="17">
        <v>387.03</v>
      </c>
      <c r="C4" s="23">
        <f>LN(B4/B3)</f>
        <v>-7.7214498370321216E-3</v>
      </c>
      <c r="D4" s="23"/>
      <c r="E4" s="1" t="s">
        <v>350</v>
      </c>
      <c r="F4" s="186">
        <f>1/12</f>
        <v>8.3333333333333329E-2</v>
      </c>
      <c r="H4" s="1" t="s">
        <v>351</v>
      </c>
      <c r="I4" s="2">
        <f>I1*I3</f>
        <v>40800</v>
      </c>
    </row>
    <row r="5" spans="1:10" x14ac:dyDescent="0.3">
      <c r="A5" s="150">
        <v>44250</v>
      </c>
      <c r="B5" s="17">
        <v>387.5</v>
      </c>
      <c r="C5" s="23">
        <f t="shared" ref="C5:C16" si="0">LN(B5/B4)</f>
        <v>1.2136393882467825E-3</v>
      </c>
      <c r="D5" s="23"/>
      <c r="E5" s="1" t="s">
        <v>22</v>
      </c>
      <c r="F5" s="55">
        <v>6.0000000000000001E-3</v>
      </c>
      <c r="H5" s="1" t="s">
        <v>144</v>
      </c>
      <c r="I5" s="2">
        <f>MAX(F3-I3,0)*I2</f>
        <v>6069.132508287692</v>
      </c>
      <c r="J5" s="2"/>
    </row>
    <row r="6" spans="1:10" x14ac:dyDescent="0.3">
      <c r="A6" s="150">
        <v>44251</v>
      </c>
      <c r="B6" s="17">
        <v>391.77</v>
      </c>
      <c r="C6" s="23">
        <f t="shared" si="0"/>
        <v>1.0959084107023828E-2</v>
      </c>
      <c r="D6" s="23"/>
      <c r="E6" s="1" t="s">
        <v>346</v>
      </c>
      <c r="F6" s="175">
        <v>100</v>
      </c>
      <c r="H6" s="1" t="s">
        <v>352</v>
      </c>
      <c r="I6" s="226">
        <f>I2*F17</f>
        <v>1004.5481448024541</v>
      </c>
    </row>
    <row r="7" spans="1:10" x14ac:dyDescent="0.3">
      <c r="A7" s="150">
        <v>44252</v>
      </c>
      <c r="B7" s="17">
        <v>382.33</v>
      </c>
      <c r="C7" s="23">
        <f t="shared" si="0"/>
        <v>-2.4390822872985191E-2</v>
      </c>
      <c r="D7" s="23"/>
      <c r="E7" s="1" t="s">
        <v>349</v>
      </c>
      <c r="F7" s="176">
        <v>408</v>
      </c>
      <c r="H7" s="227" t="s">
        <v>222</v>
      </c>
      <c r="I7" s="226">
        <f>I4+I5-I6</f>
        <v>45864.584363485243</v>
      </c>
    </row>
    <row r="8" spans="1:10" x14ac:dyDescent="0.3">
      <c r="A8" s="150">
        <v>44253</v>
      </c>
      <c r="B8" s="17">
        <v>380.36</v>
      </c>
      <c r="C8" s="23">
        <f t="shared" si="0"/>
        <v>-5.1659373561968088E-3</v>
      </c>
      <c r="D8" s="23"/>
      <c r="E8" s="1" t="s">
        <v>353</v>
      </c>
      <c r="F8" s="23">
        <f>STDEV(C3:C257)</f>
        <v>8.8629714900112112E-3</v>
      </c>
    </row>
    <row r="9" spans="1:10" x14ac:dyDescent="0.3">
      <c r="A9" s="150">
        <v>44256</v>
      </c>
      <c r="B9" s="17">
        <v>389.58</v>
      </c>
      <c r="C9" s="23">
        <f t="shared" si="0"/>
        <v>2.3951063077206795E-2</v>
      </c>
      <c r="D9" s="23"/>
      <c r="E9" s="1" t="s">
        <v>354</v>
      </c>
      <c r="F9" s="23">
        <f>F8*SQRT(F2)</f>
        <v>0.14125252196941085</v>
      </c>
    </row>
    <row r="10" spans="1:10" x14ac:dyDescent="0.3">
      <c r="A10" s="150">
        <v>44257</v>
      </c>
      <c r="B10" s="17">
        <v>386.54</v>
      </c>
      <c r="C10" s="23">
        <f t="shared" si="0"/>
        <v>-7.8338801911286698E-3</v>
      </c>
      <c r="D10" s="23"/>
      <c r="E10" s="1" t="s">
        <v>27</v>
      </c>
      <c r="F10" s="17">
        <f>(LN(F1/F3)+(F5+F9^2/2)*F4)/(F9*SQRT(F4))</f>
        <v>0.84978673731762</v>
      </c>
    </row>
    <row r="11" spans="1:10" x14ac:dyDescent="0.3">
      <c r="A11" s="150">
        <v>44258</v>
      </c>
      <c r="B11" s="17">
        <v>381.42</v>
      </c>
      <c r="C11" s="23">
        <f t="shared" si="0"/>
        <v>-1.3334225380949319E-2</v>
      </c>
      <c r="D11" s="23"/>
      <c r="E11" s="1" t="s">
        <v>28</v>
      </c>
      <c r="F11" s="17">
        <f>F10-F9*SQRT(F4)</f>
        <v>0.80901064652624355</v>
      </c>
    </row>
    <row r="12" spans="1:10" x14ac:dyDescent="0.3">
      <c r="A12" s="150">
        <v>44259</v>
      </c>
      <c r="B12" s="17">
        <v>376.7</v>
      </c>
      <c r="C12" s="23">
        <f t="shared" si="0"/>
        <v>-1.2452015478377114E-2</v>
      </c>
      <c r="D12" s="23"/>
      <c r="E12" s="1" t="s">
        <v>355</v>
      </c>
      <c r="F12" s="17">
        <f>NORMSDIST(F10)</f>
        <v>0.80227816770167037</v>
      </c>
    </row>
    <row r="13" spans="1:10" x14ac:dyDescent="0.3">
      <c r="A13" s="150">
        <v>44260</v>
      </c>
      <c r="B13" s="17">
        <v>383.63</v>
      </c>
      <c r="C13" s="23">
        <f t="shared" si="0"/>
        <v>1.8229431718389397E-2</v>
      </c>
      <c r="D13" s="23"/>
      <c r="E13" s="1" t="s">
        <v>356</v>
      </c>
      <c r="F13" s="17">
        <f>NORMSDIST(F11)</f>
        <v>0.79074548880846396</v>
      </c>
    </row>
    <row r="14" spans="1:10" x14ac:dyDescent="0.3">
      <c r="A14" s="150">
        <v>44263</v>
      </c>
      <c r="B14" s="17">
        <v>381.72</v>
      </c>
      <c r="C14" s="23">
        <f t="shared" si="0"/>
        <v>-4.9911908673316912E-3</v>
      </c>
      <c r="D14" s="23"/>
      <c r="E14" s="1" t="s">
        <v>357</v>
      </c>
      <c r="F14" s="17">
        <f>NORMSDIST(-F10)</f>
        <v>0.19772183229832968</v>
      </c>
    </row>
    <row r="15" spans="1:10" x14ac:dyDescent="0.3">
      <c r="A15" s="150">
        <v>44264</v>
      </c>
      <c r="B15" s="17">
        <v>387.17</v>
      </c>
      <c r="C15" s="23">
        <f t="shared" si="0"/>
        <v>1.4176517512846978E-2</v>
      </c>
      <c r="D15" s="23"/>
      <c r="E15" s="1" t="s">
        <v>358</v>
      </c>
      <c r="F15" s="17">
        <f>NORMSDIST(-F11)</f>
        <v>0.20925451119153599</v>
      </c>
    </row>
    <row r="16" spans="1:10" x14ac:dyDescent="0.3">
      <c r="A16" s="150">
        <v>44265</v>
      </c>
      <c r="B16" s="17">
        <v>389.58</v>
      </c>
      <c r="C16" s="23">
        <f t="shared" si="0"/>
        <v>6.205362686550293E-3</v>
      </c>
      <c r="E16" s="1" t="s">
        <v>359</v>
      </c>
      <c r="F16" s="2">
        <f>F1*F12-F3*EXP(-F5*F4)*F13</f>
        <v>16.426158506971262</v>
      </c>
    </row>
    <row r="17" spans="1:6" x14ac:dyDescent="0.3">
      <c r="A17" s="150">
        <v>44266</v>
      </c>
      <c r="B17" s="17">
        <v>393.53</v>
      </c>
      <c r="C17" s="23">
        <v>1.0088068084801373E-2</v>
      </c>
      <c r="E17" s="1" t="s">
        <v>360</v>
      </c>
      <c r="F17" s="2">
        <f>F3*EXP(-F5*F4)*F15-F1*F14</f>
        <v>1.9862109982222904</v>
      </c>
    </row>
    <row r="18" spans="1:6" x14ac:dyDescent="0.3">
      <c r="A18" s="150">
        <v>44267</v>
      </c>
      <c r="B18" s="17">
        <v>394.06</v>
      </c>
      <c r="C18" s="23">
        <v>1.3458781345700166E-3</v>
      </c>
    </row>
    <row r="19" spans="1:6" x14ac:dyDescent="0.3">
      <c r="A19" s="150">
        <v>44270</v>
      </c>
      <c r="B19" s="17">
        <v>396.41</v>
      </c>
      <c r="C19" s="23">
        <v>5.9458472132053672E-3</v>
      </c>
    </row>
    <row r="20" spans="1:6" x14ac:dyDescent="0.3">
      <c r="A20" s="150">
        <v>44271</v>
      </c>
      <c r="B20" s="17">
        <v>395.91</v>
      </c>
      <c r="C20" s="23">
        <v>-1.2621164841791108E-3</v>
      </c>
    </row>
    <row r="21" spans="1:6" x14ac:dyDescent="0.3">
      <c r="A21" s="150">
        <v>44272</v>
      </c>
      <c r="B21" s="17">
        <v>397.26</v>
      </c>
      <c r="C21" s="23">
        <v>3.4040654679617643E-3</v>
      </c>
      <c r="E21" s="193" t="s">
        <v>342</v>
      </c>
    </row>
    <row r="22" spans="1:6" x14ac:dyDescent="0.3">
      <c r="A22" s="150">
        <v>44273</v>
      </c>
      <c r="B22" s="17">
        <v>391.48</v>
      </c>
      <c r="C22" s="23">
        <v>-1.4656549607190868E-2</v>
      </c>
    </row>
    <row r="23" spans="1:6" x14ac:dyDescent="0.3">
      <c r="A23" s="150">
        <v>44274</v>
      </c>
      <c r="B23" s="17">
        <v>389.48</v>
      </c>
      <c r="C23" s="23">
        <v>-5.1219124470632581E-3</v>
      </c>
    </row>
    <row r="24" spans="1:6" x14ac:dyDescent="0.3">
      <c r="A24" s="150">
        <v>44277</v>
      </c>
      <c r="B24" s="17">
        <v>392.59</v>
      </c>
      <c r="C24" s="23">
        <v>7.9532941898838739E-3</v>
      </c>
    </row>
    <row r="25" spans="1:6" x14ac:dyDescent="0.3">
      <c r="A25" s="150">
        <v>44278</v>
      </c>
      <c r="B25" s="17">
        <v>389.5</v>
      </c>
      <c r="C25" s="23">
        <v>-7.9019449896365144E-3</v>
      </c>
    </row>
    <row r="26" spans="1:6" x14ac:dyDescent="0.3">
      <c r="A26" s="150">
        <v>44279</v>
      </c>
      <c r="B26" s="17">
        <v>387.52</v>
      </c>
      <c r="C26" s="23">
        <v>-5.096404946075616E-3</v>
      </c>
    </row>
    <row r="27" spans="1:6" x14ac:dyDescent="0.3">
      <c r="A27" s="150">
        <v>44280</v>
      </c>
      <c r="B27" s="17">
        <v>389.7</v>
      </c>
      <c r="C27" s="23">
        <v>5.6097519799362108E-3</v>
      </c>
    </row>
    <row r="28" spans="1:6" x14ac:dyDescent="0.3">
      <c r="A28" s="150">
        <v>44281</v>
      </c>
      <c r="B28" s="17">
        <v>395.98</v>
      </c>
      <c r="C28" s="23">
        <v>1.5986492583889036E-2</v>
      </c>
    </row>
    <row r="29" spans="1:6" x14ac:dyDescent="0.3">
      <c r="A29" s="150">
        <v>44284</v>
      </c>
      <c r="B29" s="17">
        <v>395.78</v>
      </c>
      <c r="C29" s="23">
        <v>-5.0520360779503248E-4</v>
      </c>
    </row>
    <row r="30" spans="1:6" x14ac:dyDescent="0.3">
      <c r="A30" s="150">
        <v>44285</v>
      </c>
      <c r="B30" s="17">
        <v>394.73</v>
      </c>
      <c r="C30" s="23">
        <v>-2.6565144463534212E-3</v>
      </c>
    </row>
    <row r="31" spans="1:6" x14ac:dyDescent="0.3">
      <c r="A31" s="150">
        <v>44286</v>
      </c>
      <c r="B31" s="17">
        <v>396.33</v>
      </c>
      <c r="C31" s="23">
        <v>4.0452106839681708E-3</v>
      </c>
    </row>
    <row r="32" spans="1:6" x14ac:dyDescent="0.3">
      <c r="A32" s="150">
        <v>44287</v>
      </c>
      <c r="B32" s="17">
        <v>400.61</v>
      </c>
      <c r="C32" s="23">
        <v>1.0741187917951974E-2</v>
      </c>
    </row>
    <row r="33" spans="1:3" x14ac:dyDescent="0.3">
      <c r="A33" s="150">
        <v>44291</v>
      </c>
      <c r="B33" s="17">
        <v>406.36</v>
      </c>
      <c r="C33" s="23">
        <v>1.4251080747019931E-2</v>
      </c>
    </row>
    <row r="34" spans="1:3" x14ac:dyDescent="0.3">
      <c r="A34" s="150">
        <v>44292</v>
      </c>
      <c r="B34" s="17">
        <v>406.12</v>
      </c>
      <c r="C34" s="23">
        <v>-5.9078379032231128E-4</v>
      </c>
    </row>
    <row r="35" spans="1:3" x14ac:dyDescent="0.3">
      <c r="A35" s="150">
        <v>44293</v>
      </c>
      <c r="B35" s="17">
        <v>406.59</v>
      </c>
      <c r="C35" s="23">
        <v>1.1566242630121652E-3</v>
      </c>
    </row>
    <row r="36" spans="1:3" x14ac:dyDescent="0.3">
      <c r="A36" s="150">
        <v>44294</v>
      </c>
      <c r="B36" s="17">
        <v>408.52</v>
      </c>
      <c r="C36" s="23">
        <v>4.7355660138638902E-3</v>
      </c>
    </row>
    <row r="37" spans="1:3" x14ac:dyDescent="0.3">
      <c r="A37" s="150">
        <v>44295</v>
      </c>
      <c r="B37" s="17">
        <v>411.49</v>
      </c>
      <c r="C37" s="23">
        <v>7.2438457753705382E-3</v>
      </c>
    </row>
    <row r="38" spans="1:3" x14ac:dyDescent="0.3">
      <c r="A38" s="150">
        <v>44298</v>
      </c>
      <c r="B38" s="17">
        <v>411.64</v>
      </c>
      <c r="C38" s="23">
        <v>3.6446248262221332E-4</v>
      </c>
    </row>
    <row r="39" spans="1:3" x14ac:dyDescent="0.3">
      <c r="A39" s="150">
        <v>44299</v>
      </c>
      <c r="B39" s="17">
        <v>412.86</v>
      </c>
      <c r="C39" s="23">
        <v>2.959371474552633E-3</v>
      </c>
    </row>
    <row r="40" spans="1:3" x14ac:dyDescent="0.3">
      <c r="A40" s="150">
        <v>44300</v>
      </c>
      <c r="B40" s="17">
        <v>411.45</v>
      </c>
      <c r="C40" s="23">
        <v>-3.4210463907216274E-3</v>
      </c>
    </row>
    <row r="41" spans="1:3" x14ac:dyDescent="0.3">
      <c r="A41" s="150">
        <v>44301</v>
      </c>
      <c r="B41" s="17">
        <v>415.87</v>
      </c>
      <c r="C41" s="23">
        <v>1.0685205371241405E-2</v>
      </c>
    </row>
    <row r="42" spans="1:3" x14ac:dyDescent="0.3">
      <c r="A42" s="150">
        <v>44302</v>
      </c>
      <c r="B42" s="17">
        <v>417.26</v>
      </c>
      <c r="C42" s="23">
        <v>3.336817278764506E-3</v>
      </c>
    </row>
    <row r="43" spans="1:3" x14ac:dyDescent="0.3">
      <c r="A43" s="150">
        <v>44305</v>
      </c>
      <c r="B43" s="17">
        <v>415.21</v>
      </c>
      <c r="C43" s="23">
        <v>-4.9251123616627299E-3</v>
      </c>
    </row>
    <row r="44" spans="1:3" x14ac:dyDescent="0.3">
      <c r="A44" s="150">
        <v>44306</v>
      </c>
      <c r="B44" s="17">
        <v>412.17</v>
      </c>
      <c r="C44" s="23">
        <v>-7.3485307360987148E-3</v>
      </c>
    </row>
    <row r="45" spans="1:3" x14ac:dyDescent="0.3">
      <c r="A45" s="150">
        <v>44307</v>
      </c>
      <c r="B45" s="17">
        <v>416.07</v>
      </c>
      <c r="C45" s="23">
        <v>9.4176297323868598E-3</v>
      </c>
    </row>
    <row r="46" spans="1:3" x14ac:dyDescent="0.3">
      <c r="A46" s="150">
        <v>44308</v>
      </c>
      <c r="B46" s="17">
        <v>412.27</v>
      </c>
      <c r="C46" s="23">
        <v>-9.1750408223621235E-3</v>
      </c>
    </row>
    <row r="47" spans="1:3" x14ac:dyDescent="0.3">
      <c r="A47" s="150">
        <v>44309</v>
      </c>
      <c r="B47" s="17">
        <v>416.74</v>
      </c>
      <c r="C47" s="23">
        <v>1.0784051628062957E-2</v>
      </c>
    </row>
    <row r="48" spans="1:3" x14ac:dyDescent="0.3">
      <c r="A48" s="150">
        <v>44312</v>
      </c>
      <c r="B48" s="17">
        <v>417.61</v>
      </c>
      <c r="C48" s="23">
        <v>2.0854564998186269E-3</v>
      </c>
    </row>
    <row r="49" spans="1:3" x14ac:dyDescent="0.3">
      <c r="A49" s="150">
        <v>44313</v>
      </c>
      <c r="B49" s="17">
        <v>417.52</v>
      </c>
      <c r="C49" s="23">
        <v>-2.1553530671502723E-4</v>
      </c>
    </row>
    <row r="50" spans="1:3" x14ac:dyDescent="0.3">
      <c r="A50" s="150">
        <v>44314</v>
      </c>
      <c r="B50" s="17">
        <v>417.4</v>
      </c>
      <c r="C50" s="23">
        <v>-2.8745269205740043E-4</v>
      </c>
    </row>
    <row r="51" spans="1:3" x14ac:dyDescent="0.3">
      <c r="A51" s="150">
        <v>44315</v>
      </c>
      <c r="B51" s="17">
        <v>420.06</v>
      </c>
      <c r="C51" s="23">
        <v>6.3525635740610056E-3</v>
      </c>
    </row>
    <row r="52" spans="1:3" x14ac:dyDescent="0.3">
      <c r="A52" s="150">
        <v>44316</v>
      </c>
      <c r="B52" s="17">
        <v>417.3</v>
      </c>
      <c r="C52" s="23">
        <v>-6.5921706196542685E-3</v>
      </c>
    </row>
    <row r="53" spans="1:3" x14ac:dyDescent="0.3">
      <c r="A53" s="150">
        <v>44319</v>
      </c>
      <c r="B53" s="17">
        <v>418.2</v>
      </c>
      <c r="C53" s="23">
        <v>2.1543993970262248E-3</v>
      </c>
    </row>
    <row r="54" spans="1:3" x14ac:dyDescent="0.3">
      <c r="A54" s="150">
        <v>44320</v>
      </c>
      <c r="B54" s="17">
        <v>415.62</v>
      </c>
      <c r="C54" s="23">
        <v>-6.1884057319644597E-3</v>
      </c>
    </row>
    <row r="55" spans="1:3" x14ac:dyDescent="0.3">
      <c r="A55" s="150">
        <v>44321</v>
      </c>
      <c r="B55" s="17">
        <v>415.75</v>
      </c>
      <c r="C55" s="23">
        <v>3.1273681046842987E-4</v>
      </c>
    </row>
    <row r="56" spans="1:3" x14ac:dyDescent="0.3">
      <c r="A56" s="150">
        <v>44322</v>
      </c>
      <c r="B56" s="17">
        <v>419.07</v>
      </c>
      <c r="C56" s="23">
        <v>7.9538523345322309E-3</v>
      </c>
    </row>
    <row r="57" spans="1:3" x14ac:dyDescent="0.3">
      <c r="A57" s="150">
        <v>44323</v>
      </c>
      <c r="B57" s="17">
        <v>422.12</v>
      </c>
      <c r="C57" s="23">
        <v>7.2516633953202065E-3</v>
      </c>
    </row>
    <row r="58" spans="1:3" x14ac:dyDescent="0.3">
      <c r="A58" s="150">
        <v>44326</v>
      </c>
      <c r="B58" s="17">
        <v>417.94</v>
      </c>
      <c r="C58" s="23">
        <v>-9.9517522509374543E-3</v>
      </c>
    </row>
    <row r="59" spans="1:3" x14ac:dyDescent="0.3">
      <c r="A59" s="150">
        <v>44327</v>
      </c>
      <c r="B59" s="17">
        <v>414.21</v>
      </c>
      <c r="C59" s="23">
        <v>-8.9647899557813264E-3</v>
      </c>
    </row>
    <row r="60" spans="1:3" x14ac:dyDescent="0.3">
      <c r="A60" s="150">
        <v>44328</v>
      </c>
      <c r="B60" s="17">
        <v>405.41</v>
      </c>
      <c r="C60" s="23">
        <v>-2.1474190886936251E-2</v>
      </c>
    </row>
    <row r="61" spans="1:3" x14ac:dyDescent="0.3">
      <c r="A61" s="150">
        <v>44329</v>
      </c>
      <c r="B61" s="17">
        <v>410.28</v>
      </c>
      <c r="C61" s="23">
        <v>1.1940952729975805E-2</v>
      </c>
    </row>
    <row r="62" spans="1:3" x14ac:dyDescent="0.3">
      <c r="A62" s="150">
        <v>44330</v>
      </c>
      <c r="B62" s="17">
        <v>416.58</v>
      </c>
      <c r="C62" s="23">
        <v>1.5238666554026831E-2</v>
      </c>
    </row>
    <row r="63" spans="1:3" x14ac:dyDescent="0.3">
      <c r="A63" s="150">
        <v>44333</v>
      </c>
      <c r="B63" s="17">
        <v>415.52</v>
      </c>
      <c r="C63" s="23">
        <v>-2.5477720787986644E-3</v>
      </c>
    </row>
    <row r="64" spans="1:3" x14ac:dyDescent="0.3">
      <c r="A64" s="150">
        <v>44334</v>
      </c>
      <c r="B64" s="17">
        <v>411.94</v>
      </c>
      <c r="C64" s="23">
        <v>-8.6530402381067122E-3</v>
      </c>
    </row>
    <row r="65" spans="1:3" x14ac:dyDescent="0.3">
      <c r="A65" s="150">
        <v>44335</v>
      </c>
      <c r="B65" s="17">
        <v>410.86</v>
      </c>
      <c r="C65" s="23">
        <v>-2.6251838119664504E-3</v>
      </c>
    </row>
    <row r="66" spans="1:3" x14ac:dyDescent="0.3">
      <c r="A66" s="150">
        <v>44336</v>
      </c>
      <c r="B66" s="17">
        <v>415.28</v>
      </c>
      <c r="C66" s="23">
        <v>1.0700467654608499E-2</v>
      </c>
    </row>
    <row r="67" spans="1:3" x14ac:dyDescent="0.3">
      <c r="A67" s="150">
        <v>44337</v>
      </c>
      <c r="B67" s="17">
        <v>414.94</v>
      </c>
      <c r="C67" s="23">
        <v>-8.1906005398005625E-4</v>
      </c>
    </row>
    <row r="68" spans="1:3" x14ac:dyDescent="0.3">
      <c r="A68" s="150">
        <v>44340</v>
      </c>
      <c r="B68" s="17">
        <v>419.17</v>
      </c>
      <c r="C68" s="23">
        <v>1.014263409545412E-2</v>
      </c>
    </row>
    <row r="69" spans="1:3" x14ac:dyDescent="0.3">
      <c r="A69" s="150">
        <v>44341</v>
      </c>
      <c r="B69" s="17">
        <v>418.24</v>
      </c>
      <c r="C69" s="23">
        <v>-2.2211351245904954E-3</v>
      </c>
    </row>
    <row r="70" spans="1:3" x14ac:dyDescent="0.3">
      <c r="A70" s="150">
        <v>44342</v>
      </c>
      <c r="B70" s="17">
        <v>419.07</v>
      </c>
      <c r="C70" s="23">
        <v>1.9825399717120456E-3</v>
      </c>
    </row>
    <row r="71" spans="1:3" x14ac:dyDescent="0.3">
      <c r="A71" s="150">
        <v>44343</v>
      </c>
      <c r="B71" s="17">
        <v>419.29</v>
      </c>
      <c r="C71" s="23">
        <v>5.2483421215222012E-4</v>
      </c>
    </row>
    <row r="72" spans="1:3" x14ac:dyDescent="0.3">
      <c r="A72" s="150">
        <v>44344</v>
      </c>
      <c r="B72" s="17">
        <v>420.04</v>
      </c>
      <c r="C72" s="23">
        <v>1.7871402180712071E-3</v>
      </c>
    </row>
    <row r="73" spans="1:3" x14ac:dyDescent="0.3">
      <c r="A73" s="150">
        <v>44348</v>
      </c>
      <c r="B73" s="17">
        <v>419.67</v>
      </c>
      <c r="C73" s="23">
        <v>-8.8125668134376414E-4</v>
      </c>
    </row>
    <row r="74" spans="1:3" x14ac:dyDescent="0.3">
      <c r="A74" s="150">
        <v>44349</v>
      </c>
      <c r="B74" s="17">
        <v>420.33</v>
      </c>
      <c r="C74" s="23">
        <v>1.5714288948008399E-3</v>
      </c>
    </row>
    <row r="75" spans="1:3" x14ac:dyDescent="0.3">
      <c r="A75" s="150">
        <v>44350</v>
      </c>
      <c r="B75" s="17">
        <v>418.77</v>
      </c>
      <c r="C75" s="23">
        <v>-3.7182738584732311E-3</v>
      </c>
    </row>
    <row r="76" spans="1:3" x14ac:dyDescent="0.3">
      <c r="A76" s="150">
        <v>44351</v>
      </c>
      <c r="B76" s="17">
        <v>422.6</v>
      </c>
      <c r="C76" s="23">
        <v>9.104261989179973E-3</v>
      </c>
    </row>
    <row r="77" spans="1:3" x14ac:dyDescent="0.3">
      <c r="A77" s="150">
        <v>44354</v>
      </c>
      <c r="B77" s="17">
        <v>422.19</v>
      </c>
      <c r="C77" s="23">
        <v>-9.7065550537033711E-4</v>
      </c>
    </row>
    <row r="78" spans="1:3" x14ac:dyDescent="0.3">
      <c r="A78" s="150">
        <v>44355</v>
      </c>
      <c r="B78" s="17">
        <v>422.28</v>
      </c>
      <c r="C78" s="23">
        <v>2.1315144490800648E-4</v>
      </c>
    </row>
    <row r="79" spans="1:3" x14ac:dyDescent="0.3">
      <c r="A79" s="150">
        <v>44356</v>
      </c>
      <c r="B79" s="17">
        <v>421.65</v>
      </c>
      <c r="C79" s="23">
        <v>-1.4930151008434797E-3</v>
      </c>
    </row>
    <row r="80" spans="1:3" x14ac:dyDescent="0.3">
      <c r="A80" s="150">
        <v>44357</v>
      </c>
      <c r="B80" s="17">
        <v>423.61</v>
      </c>
      <c r="C80" s="23">
        <v>4.6376346045375813E-3</v>
      </c>
    </row>
    <row r="81" spans="1:3" x14ac:dyDescent="0.3">
      <c r="A81" s="150">
        <v>44358</v>
      </c>
      <c r="B81" s="17">
        <v>424.31</v>
      </c>
      <c r="C81" s="23">
        <v>1.6510995353906704E-3</v>
      </c>
    </row>
    <row r="82" spans="1:3" x14ac:dyDescent="0.3">
      <c r="A82" s="150">
        <v>44361</v>
      </c>
      <c r="B82" s="17">
        <v>425.26</v>
      </c>
      <c r="C82" s="23">
        <v>2.2364264179766859E-3</v>
      </c>
    </row>
    <row r="83" spans="1:3" x14ac:dyDescent="0.3">
      <c r="A83" s="150">
        <v>44362</v>
      </c>
      <c r="B83" s="17">
        <v>424.48</v>
      </c>
      <c r="C83" s="23">
        <v>-1.8358561891258481E-3</v>
      </c>
    </row>
    <row r="84" spans="1:3" x14ac:dyDescent="0.3">
      <c r="A84" s="150">
        <v>44363</v>
      </c>
      <c r="B84" s="17">
        <v>422.11</v>
      </c>
      <c r="C84" s="23">
        <v>-5.5989468131381597E-3</v>
      </c>
    </row>
    <row r="85" spans="1:3" x14ac:dyDescent="0.3">
      <c r="A85" s="150">
        <v>44364</v>
      </c>
      <c r="B85" s="17">
        <v>421.97</v>
      </c>
      <c r="C85" s="23">
        <v>-3.3172211469007103E-4</v>
      </c>
    </row>
    <row r="86" spans="1:3" x14ac:dyDescent="0.3">
      <c r="A86" s="150">
        <v>44365</v>
      </c>
      <c r="B86" s="17">
        <v>414.92</v>
      </c>
      <c r="C86" s="23">
        <v>-1.6848490897973991E-2</v>
      </c>
    </row>
    <row r="87" spans="1:3" x14ac:dyDescent="0.3">
      <c r="A87" s="150">
        <v>44368</v>
      </c>
      <c r="B87" s="17">
        <v>420.86</v>
      </c>
      <c r="C87" s="23">
        <v>1.421450624684998E-2</v>
      </c>
    </row>
    <row r="88" spans="1:3" x14ac:dyDescent="0.3">
      <c r="A88" s="150">
        <v>44369</v>
      </c>
      <c r="B88" s="17">
        <v>423.11</v>
      </c>
      <c r="C88" s="23">
        <v>5.3319557106909976E-3</v>
      </c>
    </row>
    <row r="89" spans="1:3" x14ac:dyDescent="0.3">
      <c r="A89" s="150">
        <v>44370</v>
      </c>
      <c r="B89" s="17">
        <v>422.6</v>
      </c>
      <c r="C89" s="23">
        <v>-1.2060873392119639E-3</v>
      </c>
    </row>
    <row r="90" spans="1:3" x14ac:dyDescent="0.3">
      <c r="A90" s="150">
        <v>44371</v>
      </c>
      <c r="B90" s="17">
        <v>425.1</v>
      </c>
      <c r="C90" s="23">
        <v>5.8983301827882266E-3</v>
      </c>
    </row>
    <row r="91" spans="1:3" x14ac:dyDescent="0.3">
      <c r="A91" s="150">
        <v>44372</v>
      </c>
      <c r="B91" s="17">
        <v>426.61</v>
      </c>
      <c r="C91" s="23">
        <v>3.5458115604477046E-3</v>
      </c>
    </row>
    <row r="92" spans="1:3" x14ac:dyDescent="0.3">
      <c r="A92" s="150">
        <v>44375</v>
      </c>
      <c r="B92" s="17">
        <v>427.47</v>
      </c>
      <c r="C92" s="23">
        <v>2.0138635506151423E-3</v>
      </c>
    </row>
    <row r="93" spans="1:3" x14ac:dyDescent="0.3">
      <c r="A93" s="150">
        <v>44376</v>
      </c>
      <c r="B93" s="17">
        <v>427.7</v>
      </c>
      <c r="C93" s="23">
        <v>5.3790475705577242E-4</v>
      </c>
    </row>
    <row r="94" spans="1:3" x14ac:dyDescent="0.3">
      <c r="A94" s="150">
        <v>44377</v>
      </c>
      <c r="B94" s="17">
        <v>428.06</v>
      </c>
      <c r="C94" s="23">
        <v>8.4135743955433557E-4</v>
      </c>
    </row>
    <row r="95" spans="1:3" x14ac:dyDescent="0.3">
      <c r="A95" s="150">
        <v>44378</v>
      </c>
      <c r="B95" s="17">
        <v>430.43</v>
      </c>
      <c r="C95" s="23">
        <v>5.5213363482745159E-3</v>
      </c>
    </row>
    <row r="96" spans="1:3" x14ac:dyDescent="0.3">
      <c r="A96" s="150">
        <v>44379</v>
      </c>
      <c r="B96" s="17">
        <v>433.72</v>
      </c>
      <c r="C96" s="23">
        <v>7.6144555832896666E-3</v>
      </c>
    </row>
    <row r="97" spans="1:3" x14ac:dyDescent="0.3">
      <c r="A97" s="150">
        <v>44383</v>
      </c>
      <c r="B97" s="17">
        <v>432.93</v>
      </c>
      <c r="C97" s="23">
        <v>-1.8231124878851778E-3</v>
      </c>
    </row>
    <row r="98" spans="1:3" x14ac:dyDescent="0.3">
      <c r="A98" s="150">
        <v>44384</v>
      </c>
      <c r="B98" s="17">
        <v>434.46</v>
      </c>
      <c r="C98" s="23">
        <v>3.527828512688284E-3</v>
      </c>
    </row>
    <row r="99" spans="1:3" x14ac:dyDescent="0.3">
      <c r="A99" s="150">
        <v>44385</v>
      </c>
      <c r="B99" s="17">
        <v>430.92</v>
      </c>
      <c r="C99" s="23">
        <v>-8.1814226027924954E-3</v>
      </c>
    </row>
    <row r="100" spans="1:3" x14ac:dyDescent="0.3">
      <c r="A100" s="150">
        <v>44386</v>
      </c>
      <c r="B100" s="17">
        <v>435.52</v>
      </c>
      <c r="C100" s="23">
        <v>1.0618261437109413E-2</v>
      </c>
    </row>
    <row r="101" spans="1:3" x14ac:dyDescent="0.3">
      <c r="A101" s="150">
        <v>44389</v>
      </c>
      <c r="B101" s="17">
        <v>437.08</v>
      </c>
      <c r="C101" s="23">
        <v>3.5755252394434013E-3</v>
      </c>
    </row>
    <row r="102" spans="1:3" x14ac:dyDescent="0.3">
      <c r="A102" s="150">
        <v>44390</v>
      </c>
      <c r="B102" s="17">
        <v>435.59</v>
      </c>
      <c r="C102" s="23">
        <v>-3.4148107483902199E-3</v>
      </c>
    </row>
    <row r="103" spans="1:3" x14ac:dyDescent="0.3">
      <c r="A103" s="150">
        <v>44391</v>
      </c>
      <c r="B103" s="17">
        <v>436.24</v>
      </c>
      <c r="C103" s="23">
        <v>1.4911166636517453E-3</v>
      </c>
    </row>
    <row r="104" spans="1:3" x14ac:dyDescent="0.3">
      <c r="A104" s="150">
        <v>44392</v>
      </c>
      <c r="B104" s="17">
        <v>434.75</v>
      </c>
      <c r="C104" s="23">
        <v>-3.4213973834137574E-3</v>
      </c>
    </row>
    <row r="105" spans="1:3" x14ac:dyDescent="0.3">
      <c r="A105" s="150">
        <v>44393</v>
      </c>
      <c r="B105" s="17">
        <v>431.34</v>
      </c>
      <c r="C105" s="23">
        <v>-7.8745110105572988E-3</v>
      </c>
    </row>
    <row r="106" spans="1:3" x14ac:dyDescent="0.3">
      <c r="A106" s="150">
        <v>44396</v>
      </c>
      <c r="B106" s="17">
        <v>424.97</v>
      </c>
      <c r="C106" s="23">
        <v>-1.4878064026179113E-2</v>
      </c>
    </row>
    <row r="107" spans="1:3" x14ac:dyDescent="0.3">
      <c r="A107" s="150">
        <v>44397</v>
      </c>
      <c r="B107" s="17">
        <v>431.06</v>
      </c>
      <c r="C107" s="23">
        <v>1.4228713354011657E-2</v>
      </c>
    </row>
    <row r="108" spans="1:3" x14ac:dyDescent="0.3">
      <c r="A108" s="150">
        <v>44398</v>
      </c>
      <c r="B108" s="17">
        <v>434.55</v>
      </c>
      <c r="C108" s="23">
        <v>8.0637213318014173E-3</v>
      </c>
    </row>
    <row r="109" spans="1:3" x14ac:dyDescent="0.3">
      <c r="A109" s="150">
        <v>44399</v>
      </c>
      <c r="B109" s="17">
        <v>435.46</v>
      </c>
      <c r="C109" s="23">
        <v>2.0919307407038026E-3</v>
      </c>
    </row>
    <row r="110" spans="1:3" x14ac:dyDescent="0.3">
      <c r="A110" s="150">
        <v>44400</v>
      </c>
      <c r="B110" s="17">
        <v>439.94</v>
      </c>
      <c r="C110" s="23">
        <v>1.0235410353404478E-2</v>
      </c>
    </row>
    <row r="111" spans="1:3" x14ac:dyDescent="0.3">
      <c r="A111" s="150">
        <v>44403</v>
      </c>
      <c r="B111" s="17">
        <v>441.02</v>
      </c>
      <c r="C111" s="23">
        <v>2.4518719148446753E-3</v>
      </c>
    </row>
    <row r="112" spans="1:3" x14ac:dyDescent="0.3">
      <c r="A112" s="150">
        <v>44404</v>
      </c>
      <c r="B112" s="17">
        <v>439.01</v>
      </c>
      <c r="C112" s="23">
        <v>-4.5680340334088325E-3</v>
      </c>
    </row>
    <row r="113" spans="1:3" x14ac:dyDescent="0.3">
      <c r="A113" s="150">
        <v>44405</v>
      </c>
      <c r="B113" s="17">
        <v>438.83</v>
      </c>
      <c r="C113" s="23">
        <v>-4.1009751782265748E-4</v>
      </c>
    </row>
    <row r="114" spans="1:3" x14ac:dyDescent="0.3">
      <c r="A114" s="150">
        <v>44406</v>
      </c>
      <c r="B114" s="17">
        <v>440.65</v>
      </c>
      <c r="C114" s="23">
        <v>4.1388152044790774E-3</v>
      </c>
    </row>
    <row r="115" spans="1:3" x14ac:dyDescent="0.3">
      <c r="A115" s="150">
        <v>44407</v>
      </c>
      <c r="B115" s="17">
        <v>438.51</v>
      </c>
      <c r="C115" s="23">
        <v>-4.8682929763584392E-3</v>
      </c>
    </row>
    <row r="116" spans="1:3" x14ac:dyDescent="0.3">
      <c r="A116" s="150">
        <v>44410</v>
      </c>
      <c r="B116" s="17">
        <v>437.59</v>
      </c>
      <c r="C116" s="23">
        <v>-2.1002176422100205E-3</v>
      </c>
    </row>
    <row r="117" spans="1:3" x14ac:dyDescent="0.3">
      <c r="A117" s="150">
        <v>44411</v>
      </c>
      <c r="B117" s="17">
        <v>441.15</v>
      </c>
      <c r="C117" s="23">
        <v>8.1025547410126467E-3</v>
      </c>
    </row>
    <row r="118" spans="1:3" x14ac:dyDescent="0.3">
      <c r="A118" s="150">
        <v>44412</v>
      </c>
      <c r="B118" s="17">
        <v>438.98</v>
      </c>
      <c r="C118" s="23">
        <v>-4.9310997173037437E-3</v>
      </c>
    </row>
    <row r="119" spans="1:3" x14ac:dyDescent="0.3">
      <c r="A119" s="150">
        <v>44413</v>
      </c>
      <c r="B119" s="17">
        <v>441.76</v>
      </c>
      <c r="C119" s="23">
        <v>6.3128942310343482E-3</v>
      </c>
    </row>
    <row r="120" spans="1:3" x14ac:dyDescent="0.3">
      <c r="A120" s="150">
        <v>44414</v>
      </c>
      <c r="B120" s="17">
        <v>442.49</v>
      </c>
      <c r="C120" s="23">
        <v>1.651117140725153E-3</v>
      </c>
    </row>
    <row r="121" spans="1:3" x14ac:dyDescent="0.3">
      <c r="A121" s="150">
        <v>44417</v>
      </c>
      <c r="B121" s="17">
        <v>442.13</v>
      </c>
      <c r="C121" s="23">
        <v>-8.1390884192863154E-4</v>
      </c>
    </row>
    <row r="122" spans="1:3" x14ac:dyDescent="0.3">
      <c r="A122" s="150">
        <v>44418</v>
      </c>
      <c r="B122" s="17">
        <v>442.68</v>
      </c>
      <c r="C122" s="23">
        <v>1.2432049159437405E-3</v>
      </c>
    </row>
    <row r="123" spans="1:3" x14ac:dyDescent="0.3">
      <c r="A123" s="150">
        <v>44419</v>
      </c>
      <c r="B123" s="17">
        <v>443.78</v>
      </c>
      <c r="C123" s="23">
        <v>2.4817827416857606E-3</v>
      </c>
    </row>
    <row r="124" spans="1:3" x14ac:dyDescent="0.3">
      <c r="A124" s="150">
        <v>44420</v>
      </c>
      <c r="B124" s="17">
        <v>445.11</v>
      </c>
      <c r="C124" s="23">
        <v>2.9924984925414492E-3</v>
      </c>
    </row>
    <row r="125" spans="1:3" x14ac:dyDescent="0.3">
      <c r="A125" s="150">
        <v>44421</v>
      </c>
      <c r="B125" s="17">
        <v>445.92</v>
      </c>
      <c r="C125" s="23">
        <v>1.8181211028260626E-3</v>
      </c>
    </row>
    <row r="126" spans="1:3" x14ac:dyDescent="0.3">
      <c r="A126" s="150">
        <v>44424</v>
      </c>
      <c r="B126" s="17">
        <v>446.97</v>
      </c>
      <c r="C126" s="23">
        <v>2.3519145337195283E-3</v>
      </c>
    </row>
    <row r="127" spans="1:3" x14ac:dyDescent="0.3">
      <c r="A127" s="150">
        <v>44425</v>
      </c>
      <c r="B127" s="17">
        <v>444.04</v>
      </c>
      <c r="C127" s="23">
        <v>-6.5768298029111431E-3</v>
      </c>
    </row>
    <row r="128" spans="1:3" x14ac:dyDescent="0.3">
      <c r="A128" s="150">
        <v>44426</v>
      </c>
      <c r="B128" s="17">
        <v>439.18</v>
      </c>
      <c r="C128" s="23">
        <v>-1.1005296646600982E-2</v>
      </c>
    </row>
    <row r="129" spans="1:3" x14ac:dyDescent="0.3">
      <c r="A129" s="150">
        <v>44427</v>
      </c>
      <c r="B129" s="17">
        <v>439.86</v>
      </c>
      <c r="C129" s="23">
        <v>1.5471426457048332E-3</v>
      </c>
    </row>
    <row r="130" spans="1:3" x14ac:dyDescent="0.3">
      <c r="A130" s="150">
        <v>44428</v>
      </c>
      <c r="B130" s="17">
        <v>443.36</v>
      </c>
      <c r="C130" s="23">
        <v>7.9255866511181144E-3</v>
      </c>
    </row>
    <row r="131" spans="1:3" x14ac:dyDescent="0.3">
      <c r="A131" s="150">
        <v>44431</v>
      </c>
      <c r="B131" s="17">
        <v>447.26</v>
      </c>
      <c r="C131" s="23">
        <v>8.7579998839028526E-3</v>
      </c>
    </row>
    <row r="132" spans="1:3" x14ac:dyDescent="0.3">
      <c r="A132" s="150">
        <v>44432</v>
      </c>
      <c r="B132" s="17">
        <v>447.97</v>
      </c>
      <c r="C132" s="23">
        <v>1.5861848884918582E-3</v>
      </c>
    </row>
    <row r="133" spans="1:3" x14ac:dyDescent="0.3">
      <c r="A133" s="150">
        <v>44433</v>
      </c>
      <c r="B133" s="17">
        <v>448.91</v>
      </c>
      <c r="C133" s="23">
        <v>2.0961563290218389E-3</v>
      </c>
    </row>
    <row r="134" spans="1:3" x14ac:dyDescent="0.3">
      <c r="A134" s="150">
        <v>44434</v>
      </c>
      <c r="B134" s="17">
        <v>446.26</v>
      </c>
      <c r="C134" s="23">
        <v>-5.9206804097277901E-3</v>
      </c>
    </row>
    <row r="135" spans="1:3" x14ac:dyDescent="0.3">
      <c r="A135" s="150">
        <v>44435</v>
      </c>
      <c r="B135" s="17">
        <v>450.25</v>
      </c>
      <c r="C135" s="23">
        <v>8.9012422497082022E-3</v>
      </c>
    </row>
    <row r="136" spans="1:3" x14ac:dyDescent="0.3">
      <c r="A136" s="150">
        <v>44438</v>
      </c>
      <c r="B136" s="17">
        <v>452.23</v>
      </c>
      <c r="C136" s="23">
        <v>4.3879159136535227E-3</v>
      </c>
    </row>
    <row r="137" spans="1:3" x14ac:dyDescent="0.3">
      <c r="A137" s="150">
        <v>44439</v>
      </c>
      <c r="B137" s="17">
        <v>451.56</v>
      </c>
      <c r="C137" s="23">
        <v>-1.4826455763727044E-3</v>
      </c>
    </row>
    <row r="138" spans="1:3" x14ac:dyDescent="0.3">
      <c r="A138" s="150">
        <v>44440</v>
      </c>
      <c r="B138" s="17">
        <v>451.8</v>
      </c>
      <c r="C138" s="23">
        <v>5.3134964055682164E-4</v>
      </c>
    </row>
    <row r="139" spans="1:3" x14ac:dyDescent="0.3">
      <c r="A139" s="150">
        <v>44441</v>
      </c>
      <c r="B139" s="17">
        <v>453.19</v>
      </c>
      <c r="C139" s="23">
        <v>3.071859563178311E-3</v>
      </c>
    </row>
    <row r="140" spans="1:3" x14ac:dyDescent="0.3">
      <c r="A140" s="150">
        <v>44442</v>
      </c>
      <c r="B140" s="17">
        <v>453.08</v>
      </c>
      <c r="C140" s="23">
        <v>-2.4275326456844163E-4</v>
      </c>
    </row>
    <row r="141" spans="1:3" x14ac:dyDescent="0.3">
      <c r="A141" s="150">
        <v>44446</v>
      </c>
      <c r="B141" s="17">
        <v>451.46</v>
      </c>
      <c r="C141" s="23">
        <v>-3.5819349770811436E-3</v>
      </c>
    </row>
    <row r="142" spans="1:3" x14ac:dyDescent="0.3">
      <c r="A142" s="150">
        <v>44447</v>
      </c>
      <c r="B142" s="17">
        <v>450.91</v>
      </c>
      <c r="C142" s="23">
        <v>-1.2190123078291487E-3</v>
      </c>
    </row>
    <row r="143" spans="1:3" x14ac:dyDescent="0.3">
      <c r="A143" s="150">
        <v>44448</v>
      </c>
      <c r="B143" s="17">
        <v>448.98</v>
      </c>
      <c r="C143" s="23">
        <v>-4.2894197272803575E-3</v>
      </c>
    </row>
    <row r="144" spans="1:3" x14ac:dyDescent="0.3">
      <c r="A144" s="150">
        <v>44449</v>
      </c>
      <c r="B144" s="17">
        <v>445.44</v>
      </c>
      <c r="C144" s="23">
        <v>-7.9157856143220236E-3</v>
      </c>
    </row>
    <row r="145" spans="1:3" x14ac:dyDescent="0.3">
      <c r="A145" s="150">
        <v>44452</v>
      </c>
      <c r="B145" s="17">
        <v>446.58</v>
      </c>
      <c r="C145" s="23">
        <v>2.5559978938741105E-3</v>
      </c>
    </row>
    <row r="146" spans="1:3" x14ac:dyDescent="0.3">
      <c r="A146" s="150">
        <v>44453</v>
      </c>
      <c r="B146" s="17">
        <v>444.17</v>
      </c>
      <c r="C146" s="23">
        <v>-5.4111835657128897E-3</v>
      </c>
    </row>
    <row r="147" spans="1:3" x14ac:dyDescent="0.3">
      <c r="A147" s="150">
        <v>44454</v>
      </c>
      <c r="B147" s="17">
        <v>447.88</v>
      </c>
      <c r="C147" s="23">
        <v>8.3179673578347817E-3</v>
      </c>
    </row>
    <row r="148" spans="1:3" x14ac:dyDescent="0.3">
      <c r="A148" s="150">
        <v>44455</v>
      </c>
      <c r="B148" s="17">
        <v>447.17</v>
      </c>
      <c r="C148" s="23">
        <v>-1.5865038800562123E-3</v>
      </c>
    </row>
    <row r="149" spans="1:3" x14ac:dyDescent="0.3">
      <c r="A149" s="150">
        <v>44456</v>
      </c>
      <c r="B149" s="17">
        <v>441.4</v>
      </c>
      <c r="C149" s="23">
        <v>-1.2987341689304007E-2</v>
      </c>
    </row>
    <row r="150" spans="1:3" x14ac:dyDescent="0.3">
      <c r="A150" s="150">
        <v>44459</v>
      </c>
      <c r="B150" s="17">
        <v>434.04</v>
      </c>
      <c r="C150" s="23">
        <v>-1.6814798070629022E-2</v>
      </c>
    </row>
    <row r="151" spans="1:3" x14ac:dyDescent="0.3">
      <c r="A151" s="150">
        <v>44460</v>
      </c>
      <c r="B151" s="17">
        <v>433.63</v>
      </c>
      <c r="C151" s="23">
        <v>-9.4505982808117095E-4</v>
      </c>
    </row>
    <row r="152" spans="1:3" x14ac:dyDescent="0.3">
      <c r="A152" s="150">
        <v>44461</v>
      </c>
      <c r="B152" s="17">
        <v>437.86</v>
      </c>
      <c r="C152" s="23">
        <v>9.707588655264391E-3</v>
      </c>
    </row>
    <row r="153" spans="1:3" x14ac:dyDescent="0.3">
      <c r="A153" s="150">
        <v>44462</v>
      </c>
      <c r="B153" s="17">
        <v>443.18</v>
      </c>
      <c r="C153" s="23">
        <v>1.2076783481868766E-2</v>
      </c>
    </row>
    <row r="154" spans="1:3" x14ac:dyDescent="0.3">
      <c r="A154" s="150">
        <v>44463</v>
      </c>
      <c r="B154" s="17">
        <v>443.91</v>
      </c>
      <c r="C154" s="23">
        <v>1.6458311214935907E-3</v>
      </c>
    </row>
    <row r="155" spans="1:3" x14ac:dyDescent="0.3">
      <c r="A155" s="150">
        <v>44466</v>
      </c>
      <c r="B155" s="17">
        <v>442.64</v>
      </c>
      <c r="C155" s="23">
        <v>-2.8650405926983272E-3</v>
      </c>
    </row>
    <row r="156" spans="1:3" x14ac:dyDescent="0.3">
      <c r="A156" s="150">
        <v>44467</v>
      </c>
      <c r="B156" s="17">
        <v>433.72</v>
      </c>
      <c r="C156" s="23">
        <v>-2.0357633985873001E-2</v>
      </c>
    </row>
    <row r="157" spans="1:3" x14ac:dyDescent="0.3">
      <c r="A157" s="150">
        <v>44468</v>
      </c>
      <c r="B157" s="17">
        <v>434.45</v>
      </c>
      <c r="C157" s="23">
        <v>1.6816986812337234E-3</v>
      </c>
    </row>
    <row r="158" spans="1:3" x14ac:dyDescent="0.3">
      <c r="A158" s="150">
        <v>44469</v>
      </c>
      <c r="B158" s="17">
        <v>429.14</v>
      </c>
      <c r="C158" s="23">
        <v>-1.2297657268279926E-2</v>
      </c>
    </row>
    <row r="159" spans="1:3" x14ac:dyDescent="0.3">
      <c r="A159" s="150">
        <v>44470</v>
      </c>
      <c r="B159" s="17">
        <v>434.24</v>
      </c>
      <c r="C159" s="23">
        <v>1.1814170629569253E-2</v>
      </c>
    </row>
    <row r="160" spans="1:3" x14ac:dyDescent="0.3">
      <c r="A160" s="150">
        <v>44473</v>
      </c>
      <c r="B160" s="17">
        <v>428.64</v>
      </c>
      <c r="C160" s="23">
        <v>-1.2979970850205805E-2</v>
      </c>
    </row>
    <row r="161" spans="1:3" x14ac:dyDescent="0.3">
      <c r="A161" s="150">
        <v>44474</v>
      </c>
      <c r="B161" s="17">
        <v>433.1</v>
      </c>
      <c r="C161" s="23">
        <v>1.0351242424282498E-2</v>
      </c>
    </row>
    <row r="162" spans="1:3" x14ac:dyDescent="0.3">
      <c r="A162" s="150">
        <v>44475</v>
      </c>
      <c r="B162" s="17">
        <v>434.9</v>
      </c>
      <c r="C162" s="23">
        <v>4.1474713830116205E-3</v>
      </c>
    </row>
    <row r="163" spans="1:3" x14ac:dyDescent="0.3">
      <c r="A163" s="150">
        <v>44476</v>
      </c>
      <c r="B163" s="17">
        <v>438.66</v>
      </c>
      <c r="C163" s="23">
        <v>8.6085059296869462E-3</v>
      </c>
    </row>
    <row r="164" spans="1:3" x14ac:dyDescent="0.3">
      <c r="A164" s="150">
        <v>44477</v>
      </c>
      <c r="B164" s="17">
        <v>437.86</v>
      </c>
      <c r="C164" s="23">
        <v>-1.8254009540894956E-3</v>
      </c>
    </row>
    <row r="165" spans="1:3" x14ac:dyDescent="0.3">
      <c r="A165" s="150">
        <v>44480</v>
      </c>
      <c r="B165" s="17">
        <v>434.69</v>
      </c>
      <c r="C165" s="23">
        <v>-7.2660912198788544E-3</v>
      </c>
    </row>
    <row r="166" spans="1:3" x14ac:dyDescent="0.3">
      <c r="A166" s="150">
        <v>44481</v>
      </c>
      <c r="B166" s="17">
        <v>433.62</v>
      </c>
      <c r="C166" s="23">
        <v>-2.4645588363665784E-3</v>
      </c>
    </row>
    <row r="167" spans="1:3" x14ac:dyDescent="0.3">
      <c r="A167" s="150">
        <v>44482</v>
      </c>
      <c r="B167" s="17">
        <v>435.18</v>
      </c>
      <c r="C167" s="23">
        <v>3.591164080431317E-3</v>
      </c>
    </row>
    <row r="168" spans="1:3" x14ac:dyDescent="0.3">
      <c r="A168" s="150">
        <v>44483</v>
      </c>
      <c r="B168" s="17">
        <v>442.5</v>
      </c>
      <c r="C168" s="23">
        <v>1.6680725844608141E-2</v>
      </c>
    </row>
    <row r="169" spans="1:3" x14ac:dyDescent="0.3">
      <c r="A169" s="150">
        <v>44484</v>
      </c>
      <c r="B169" s="17">
        <v>445.87</v>
      </c>
      <c r="C169" s="23">
        <v>7.5869652629526746E-3</v>
      </c>
    </row>
    <row r="170" spans="1:3" x14ac:dyDescent="0.3">
      <c r="A170" s="150">
        <v>44487</v>
      </c>
      <c r="B170" s="17">
        <v>447.19</v>
      </c>
      <c r="C170" s="23">
        <v>2.9561305203630209E-3</v>
      </c>
    </row>
    <row r="171" spans="1:3" x14ac:dyDescent="0.3">
      <c r="A171" s="150">
        <v>44488</v>
      </c>
      <c r="B171" s="17">
        <v>450.64</v>
      </c>
      <c r="C171" s="23">
        <v>7.6852343551587722E-3</v>
      </c>
    </row>
    <row r="172" spans="1:3" x14ac:dyDescent="0.3">
      <c r="A172" s="150">
        <v>44489</v>
      </c>
      <c r="B172" s="17">
        <v>452.41</v>
      </c>
      <c r="C172" s="23">
        <v>3.9200537436590039E-3</v>
      </c>
    </row>
    <row r="173" spans="1:3" x14ac:dyDescent="0.3">
      <c r="A173" s="150">
        <v>44490</v>
      </c>
      <c r="B173" s="17">
        <v>453.59</v>
      </c>
      <c r="C173" s="23">
        <v>2.6048579850322519E-3</v>
      </c>
    </row>
    <row r="174" spans="1:3" x14ac:dyDescent="0.3">
      <c r="A174" s="150">
        <v>44491</v>
      </c>
      <c r="B174" s="17">
        <v>453.12</v>
      </c>
      <c r="C174" s="23">
        <v>-1.0367152498493223E-3</v>
      </c>
    </row>
    <row r="175" spans="1:3" x14ac:dyDescent="0.3">
      <c r="A175" s="150">
        <v>44494</v>
      </c>
      <c r="B175" s="17">
        <v>455.55</v>
      </c>
      <c r="C175" s="23">
        <v>5.348489094567122E-3</v>
      </c>
    </row>
    <row r="176" spans="1:3" x14ac:dyDescent="0.3">
      <c r="A176" s="150">
        <v>44495</v>
      </c>
      <c r="B176" s="17">
        <v>455.96</v>
      </c>
      <c r="C176" s="23">
        <v>8.9960620871029422E-4</v>
      </c>
    </row>
    <row r="177" spans="1:3" x14ac:dyDescent="0.3">
      <c r="A177" s="150">
        <v>44496</v>
      </c>
      <c r="B177" s="17">
        <v>453.94</v>
      </c>
      <c r="C177" s="23">
        <v>-4.4400556512541826E-3</v>
      </c>
    </row>
    <row r="178" spans="1:3" x14ac:dyDescent="0.3">
      <c r="A178" s="150">
        <v>44497</v>
      </c>
      <c r="B178" s="17">
        <v>458.32</v>
      </c>
      <c r="C178" s="23">
        <v>9.6025993829987246E-3</v>
      </c>
    </row>
    <row r="179" spans="1:3" x14ac:dyDescent="0.3">
      <c r="A179" s="150">
        <v>44498</v>
      </c>
      <c r="B179" s="17">
        <v>459.25</v>
      </c>
      <c r="C179" s="23">
        <v>2.0270939949127023E-3</v>
      </c>
    </row>
    <row r="180" spans="1:3" x14ac:dyDescent="0.3">
      <c r="A180" s="150">
        <v>44501</v>
      </c>
      <c r="B180" s="17">
        <v>460.04</v>
      </c>
      <c r="C180" s="23">
        <v>1.718718129145665E-3</v>
      </c>
    </row>
    <row r="181" spans="1:3" x14ac:dyDescent="0.3">
      <c r="A181" s="150">
        <v>44502</v>
      </c>
      <c r="B181" s="17">
        <v>461.9</v>
      </c>
      <c r="C181" s="23">
        <v>4.0349752121790821E-3</v>
      </c>
    </row>
    <row r="182" spans="1:3" x14ac:dyDescent="0.3">
      <c r="A182" s="150">
        <v>44503</v>
      </c>
      <c r="B182" s="17">
        <v>464.72</v>
      </c>
      <c r="C182" s="23">
        <v>6.0866562477175203E-3</v>
      </c>
    </row>
    <row r="183" spans="1:3" x14ac:dyDescent="0.3">
      <c r="A183" s="150">
        <v>44504</v>
      </c>
      <c r="B183" s="17">
        <v>466.91</v>
      </c>
      <c r="C183" s="23">
        <v>4.701445925752468E-3</v>
      </c>
    </row>
    <row r="184" spans="1:3" x14ac:dyDescent="0.3">
      <c r="A184" s="150">
        <v>44505</v>
      </c>
      <c r="B184" s="17">
        <v>468.53</v>
      </c>
      <c r="C184" s="23">
        <v>3.4636141698959014E-3</v>
      </c>
    </row>
    <row r="185" spans="1:3" x14ac:dyDescent="0.3">
      <c r="A185" s="150">
        <v>44508</v>
      </c>
      <c r="B185" s="17">
        <v>468.93</v>
      </c>
      <c r="C185" s="23">
        <v>8.5336979556390087E-4</v>
      </c>
    </row>
    <row r="186" spans="1:3" x14ac:dyDescent="0.3">
      <c r="A186" s="150">
        <v>44509</v>
      </c>
      <c r="B186" s="17">
        <v>467.38</v>
      </c>
      <c r="C186" s="23">
        <v>-3.3108722878290829E-3</v>
      </c>
    </row>
    <row r="187" spans="1:3" x14ac:dyDescent="0.3">
      <c r="A187" s="150">
        <v>44510</v>
      </c>
      <c r="B187" s="17">
        <v>463.62</v>
      </c>
      <c r="C187" s="23">
        <v>-8.0773801141128185E-3</v>
      </c>
    </row>
    <row r="188" spans="1:3" x14ac:dyDescent="0.3">
      <c r="A188" s="150">
        <v>44511</v>
      </c>
      <c r="B188" s="17">
        <v>463.77</v>
      </c>
      <c r="C188" s="23">
        <v>3.234885028047634E-4</v>
      </c>
    </row>
    <row r="189" spans="1:3" x14ac:dyDescent="0.3">
      <c r="A189" s="150">
        <v>44512</v>
      </c>
      <c r="B189" s="17">
        <v>467.27</v>
      </c>
      <c r="C189" s="23">
        <v>7.5185093815795054E-3</v>
      </c>
    </row>
    <row r="190" spans="1:3" x14ac:dyDescent="0.3">
      <c r="A190" s="150">
        <v>44515</v>
      </c>
      <c r="B190" s="17">
        <v>467.43</v>
      </c>
      <c r="C190" s="23">
        <v>3.4235583944105321E-4</v>
      </c>
    </row>
    <row r="191" spans="1:3" x14ac:dyDescent="0.3">
      <c r="A191" s="150">
        <v>44516</v>
      </c>
      <c r="B191" s="17">
        <v>469.28</v>
      </c>
      <c r="C191" s="23">
        <v>3.9500003317678037E-3</v>
      </c>
    </row>
    <row r="192" spans="1:3" x14ac:dyDescent="0.3">
      <c r="A192" s="150">
        <v>44517</v>
      </c>
      <c r="B192" s="17">
        <v>468.14</v>
      </c>
      <c r="C192" s="23">
        <v>-2.4322087473825599E-3</v>
      </c>
    </row>
    <row r="193" spans="1:3" x14ac:dyDescent="0.3">
      <c r="A193" s="150">
        <v>44518</v>
      </c>
      <c r="B193" s="17">
        <v>469.73</v>
      </c>
      <c r="C193" s="23">
        <v>3.3906650672278155E-3</v>
      </c>
    </row>
    <row r="194" spans="1:3" x14ac:dyDescent="0.3">
      <c r="A194" s="150">
        <v>44519</v>
      </c>
      <c r="B194" s="17">
        <v>468.89</v>
      </c>
      <c r="C194" s="23">
        <v>-1.7898621897092797E-3</v>
      </c>
    </row>
    <row r="195" spans="1:3" x14ac:dyDescent="0.3">
      <c r="A195" s="150">
        <v>44522</v>
      </c>
      <c r="B195" s="17">
        <v>467.57</v>
      </c>
      <c r="C195" s="23">
        <v>-2.8191292190243014E-3</v>
      </c>
    </row>
    <row r="196" spans="1:3" x14ac:dyDescent="0.3">
      <c r="A196" s="150">
        <v>44523</v>
      </c>
      <c r="B196" s="17">
        <v>468.19</v>
      </c>
      <c r="C196" s="23">
        <v>1.3251262946152691E-3</v>
      </c>
    </row>
    <row r="197" spans="1:3" x14ac:dyDescent="0.3">
      <c r="A197" s="150">
        <v>44524</v>
      </c>
      <c r="B197" s="17">
        <v>469.44</v>
      </c>
      <c r="C197" s="23">
        <v>2.6662985197490018E-3</v>
      </c>
    </row>
    <row r="198" spans="1:3" x14ac:dyDescent="0.3">
      <c r="A198" s="150">
        <v>44526</v>
      </c>
      <c r="B198" s="17">
        <v>458.97</v>
      </c>
      <c r="C198" s="23">
        <v>-2.2555646507219543E-2</v>
      </c>
    </row>
    <row r="199" spans="1:3" x14ac:dyDescent="0.3">
      <c r="A199" s="150">
        <v>44529</v>
      </c>
      <c r="B199" s="17">
        <v>464.6</v>
      </c>
      <c r="C199" s="23">
        <v>1.2191971888911539E-2</v>
      </c>
    </row>
    <row r="200" spans="1:3" x14ac:dyDescent="0.3">
      <c r="A200" s="150">
        <v>44530</v>
      </c>
      <c r="B200" s="17">
        <v>455.56</v>
      </c>
      <c r="C200" s="23">
        <v>-1.9649388930158496E-2</v>
      </c>
    </row>
    <row r="201" spans="1:3" x14ac:dyDescent="0.3">
      <c r="A201" s="150">
        <v>44531</v>
      </c>
      <c r="B201" s="17">
        <v>450.5</v>
      </c>
      <c r="C201" s="23">
        <v>-1.1169354357757736E-2</v>
      </c>
    </row>
    <row r="202" spans="1:3" x14ac:dyDescent="0.3">
      <c r="A202" s="150">
        <v>44532</v>
      </c>
      <c r="B202" s="17">
        <v>457.4</v>
      </c>
      <c r="C202" s="23">
        <v>1.5200204540288028E-2</v>
      </c>
    </row>
    <row r="203" spans="1:3" x14ac:dyDescent="0.3">
      <c r="A203" s="150">
        <v>44533</v>
      </c>
      <c r="B203" s="17">
        <v>453.42</v>
      </c>
      <c r="C203" s="23">
        <v>-8.7394333279971308E-3</v>
      </c>
    </row>
    <row r="204" spans="1:3" x14ac:dyDescent="0.3">
      <c r="A204" s="150">
        <v>44536</v>
      </c>
      <c r="B204" s="17">
        <v>458.79</v>
      </c>
      <c r="C204" s="23">
        <v>1.1773740767458187E-2</v>
      </c>
    </row>
    <row r="205" spans="1:3" x14ac:dyDescent="0.3">
      <c r="A205" s="150">
        <v>44537</v>
      </c>
      <c r="B205" s="17">
        <v>468.28</v>
      </c>
      <c r="C205" s="23">
        <v>2.0473818583329997E-2</v>
      </c>
    </row>
    <row r="206" spans="1:3" x14ac:dyDescent="0.3">
      <c r="A206" s="150">
        <v>44538</v>
      </c>
      <c r="B206" s="17">
        <v>469.52</v>
      </c>
      <c r="C206" s="23">
        <v>2.6444886386074984E-3</v>
      </c>
    </row>
    <row r="207" spans="1:3" x14ac:dyDescent="0.3">
      <c r="A207" s="150">
        <v>44539</v>
      </c>
      <c r="B207" s="17">
        <v>466.35</v>
      </c>
      <c r="C207" s="23">
        <v>-6.7744710772064554E-3</v>
      </c>
    </row>
    <row r="208" spans="1:3" x14ac:dyDescent="0.3">
      <c r="A208" s="150">
        <v>44540</v>
      </c>
      <c r="B208" s="17">
        <v>470.74</v>
      </c>
      <c r="C208" s="23">
        <v>9.3694994409374305E-3</v>
      </c>
    </row>
    <row r="209" spans="1:3" x14ac:dyDescent="0.3">
      <c r="A209" s="150">
        <v>44543</v>
      </c>
      <c r="B209" s="17">
        <v>466.57</v>
      </c>
      <c r="C209" s="23">
        <v>-8.8978619927572288E-3</v>
      </c>
    </row>
    <row r="210" spans="1:3" x14ac:dyDescent="0.3">
      <c r="A210" s="150">
        <v>44544</v>
      </c>
      <c r="B210" s="17">
        <v>463.36</v>
      </c>
      <c r="C210" s="23">
        <v>-6.9037728637556988E-3</v>
      </c>
    </row>
    <row r="211" spans="1:3" x14ac:dyDescent="0.3">
      <c r="A211" s="150">
        <v>44545</v>
      </c>
      <c r="B211" s="17">
        <v>470.6</v>
      </c>
      <c r="C211" s="23">
        <v>1.5504186535965254E-2</v>
      </c>
    </row>
    <row r="212" spans="1:3" x14ac:dyDescent="0.3">
      <c r="A212" s="150">
        <v>44546</v>
      </c>
      <c r="B212" s="17">
        <v>466.45</v>
      </c>
      <c r="C212" s="23">
        <v>-8.8576428862921375E-3</v>
      </c>
    </row>
    <row r="213" spans="1:3" x14ac:dyDescent="0.3">
      <c r="A213" s="150">
        <v>44547</v>
      </c>
      <c r="B213" s="17">
        <v>459.87</v>
      </c>
      <c r="C213" s="23">
        <v>-1.420699256084431E-2</v>
      </c>
    </row>
    <row r="214" spans="1:3" x14ac:dyDescent="0.3">
      <c r="A214" s="150">
        <v>44550</v>
      </c>
      <c r="B214" s="17">
        <v>454.98</v>
      </c>
      <c r="C214" s="23">
        <v>-1.0690378905226562E-2</v>
      </c>
    </row>
    <row r="215" spans="1:3" x14ac:dyDescent="0.3">
      <c r="A215" s="150">
        <v>44551</v>
      </c>
      <c r="B215" s="17">
        <v>463.06</v>
      </c>
      <c r="C215" s="23">
        <v>1.7603173382153097E-2</v>
      </c>
    </row>
    <row r="216" spans="1:3" x14ac:dyDescent="0.3">
      <c r="A216" s="150">
        <v>44552</v>
      </c>
      <c r="B216" s="17">
        <v>467.69</v>
      </c>
      <c r="C216" s="23">
        <v>9.9490479529239367E-3</v>
      </c>
    </row>
    <row r="217" spans="1:3" x14ac:dyDescent="0.3">
      <c r="A217" s="150">
        <v>44553</v>
      </c>
      <c r="B217" s="17">
        <v>470.6</v>
      </c>
      <c r="C217" s="23">
        <v>6.2027930172858176E-3</v>
      </c>
    </row>
    <row r="218" spans="1:3" x14ac:dyDescent="0.3">
      <c r="A218" s="150">
        <v>44557</v>
      </c>
      <c r="B218" s="17">
        <v>477.26</v>
      </c>
      <c r="C218" s="23">
        <v>1.4052939471808117E-2</v>
      </c>
    </row>
    <row r="219" spans="1:3" x14ac:dyDescent="0.3">
      <c r="A219" s="150">
        <v>44558</v>
      </c>
      <c r="B219" s="17">
        <v>476.87</v>
      </c>
      <c r="C219" s="23">
        <v>-8.1749870923225111E-4</v>
      </c>
    </row>
    <row r="220" spans="1:3" x14ac:dyDescent="0.3">
      <c r="A220" s="150">
        <v>44559</v>
      </c>
      <c r="B220" s="17">
        <v>477.48</v>
      </c>
      <c r="C220" s="23">
        <v>1.2783571709995747E-3</v>
      </c>
    </row>
    <row r="221" spans="1:3" x14ac:dyDescent="0.3">
      <c r="A221" s="150">
        <v>44560</v>
      </c>
      <c r="B221" s="17">
        <v>476.16</v>
      </c>
      <c r="C221" s="23">
        <v>-2.7683420221652319E-3</v>
      </c>
    </row>
    <row r="222" spans="1:3" x14ac:dyDescent="0.3">
      <c r="A222" s="150">
        <v>44561</v>
      </c>
      <c r="B222" s="17">
        <v>474.96</v>
      </c>
      <c r="C222" s="23">
        <v>-2.5233422422525262E-3</v>
      </c>
    </row>
    <row r="223" spans="1:3" x14ac:dyDescent="0.3">
      <c r="A223" s="150">
        <v>44564</v>
      </c>
      <c r="B223" s="17">
        <v>477.71</v>
      </c>
      <c r="C223" s="23">
        <v>5.7732638547505844E-3</v>
      </c>
    </row>
    <row r="224" spans="1:3" x14ac:dyDescent="0.3">
      <c r="A224" s="150">
        <v>44565</v>
      </c>
      <c r="B224" s="17">
        <v>477.55</v>
      </c>
      <c r="C224" s="23">
        <v>-3.3498733642396797E-4</v>
      </c>
    </row>
    <row r="225" spans="1:3" x14ac:dyDescent="0.3">
      <c r="A225" s="150">
        <v>44566</v>
      </c>
      <c r="B225" s="17">
        <v>468.38</v>
      </c>
      <c r="C225" s="23">
        <v>-1.9388934217042623E-2</v>
      </c>
    </row>
    <row r="226" spans="1:3" x14ac:dyDescent="0.3">
      <c r="A226" s="150">
        <v>44567</v>
      </c>
      <c r="B226" s="17">
        <v>467.94</v>
      </c>
      <c r="C226" s="23">
        <v>-9.3984969324227357E-4</v>
      </c>
    </row>
    <row r="227" spans="1:3" x14ac:dyDescent="0.3">
      <c r="A227" s="150">
        <v>44568</v>
      </c>
      <c r="B227" s="17">
        <v>466.09</v>
      </c>
      <c r="C227" s="23">
        <v>-3.9613340453915338E-3</v>
      </c>
    </row>
    <row r="228" spans="1:3" x14ac:dyDescent="0.3">
      <c r="A228" s="150">
        <v>44571</v>
      </c>
      <c r="B228" s="17">
        <v>465.51</v>
      </c>
      <c r="C228" s="23">
        <v>-1.2451697615678227E-3</v>
      </c>
    </row>
    <row r="229" spans="1:3" x14ac:dyDescent="0.3">
      <c r="A229" s="150">
        <v>44572</v>
      </c>
      <c r="B229" s="17">
        <v>469.75</v>
      </c>
      <c r="C229" s="23">
        <v>9.067059530072372E-3</v>
      </c>
    </row>
    <row r="230" spans="1:3" x14ac:dyDescent="0.3">
      <c r="A230" s="150">
        <v>44573</v>
      </c>
      <c r="B230" s="17">
        <v>471.02</v>
      </c>
      <c r="C230" s="23">
        <v>2.6999176663325985E-3</v>
      </c>
    </row>
    <row r="231" spans="1:3" x14ac:dyDescent="0.3">
      <c r="A231" s="150">
        <v>44574</v>
      </c>
      <c r="B231" s="17">
        <v>464.53</v>
      </c>
      <c r="C231" s="23">
        <v>-1.3874414215684552E-2</v>
      </c>
    </row>
    <row r="232" spans="1:3" x14ac:dyDescent="0.3">
      <c r="A232" s="150">
        <v>44575</v>
      </c>
      <c r="B232" s="17">
        <v>464.72</v>
      </c>
      <c r="C232" s="23">
        <v>4.0893194005450409E-4</v>
      </c>
    </row>
    <row r="233" spans="1:3" x14ac:dyDescent="0.3">
      <c r="A233" s="150">
        <v>44579</v>
      </c>
      <c r="B233" s="17">
        <v>456.49</v>
      </c>
      <c r="C233" s="23">
        <v>-1.7868279694227964E-2</v>
      </c>
    </row>
    <row r="234" spans="1:3" x14ac:dyDescent="0.3">
      <c r="A234" s="150">
        <v>44580</v>
      </c>
      <c r="B234" s="17">
        <v>451.75</v>
      </c>
      <c r="C234" s="23">
        <v>-1.0437864517711328E-2</v>
      </c>
    </row>
    <row r="235" spans="1:3" x14ac:dyDescent="0.3">
      <c r="A235" s="150">
        <v>44581</v>
      </c>
      <c r="B235" s="17">
        <v>446.75</v>
      </c>
      <c r="C235" s="23">
        <v>-1.1129775432800469E-2</v>
      </c>
    </row>
    <row r="236" spans="1:3" x14ac:dyDescent="0.3">
      <c r="A236" s="150">
        <v>44582</v>
      </c>
      <c r="B236" s="17">
        <v>437.98</v>
      </c>
      <c r="C236" s="23">
        <v>-1.9825906806093339E-2</v>
      </c>
    </row>
    <row r="237" spans="1:3" x14ac:dyDescent="0.3">
      <c r="A237" s="150">
        <v>44585</v>
      </c>
      <c r="B237" s="17">
        <v>439.84</v>
      </c>
      <c r="C237" s="23">
        <v>4.2377771834913825E-3</v>
      </c>
    </row>
    <row r="238" spans="1:3" x14ac:dyDescent="0.3">
      <c r="A238" s="150">
        <v>44586</v>
      </c>
      <c r="B238" s="17">
        <v>434.47</v>
      </c>
      <c r="C238" s="23">
        <v>-1.2284126974367588E-2</v>
      </c>
    </row>
    <row r="239" spans="1:3" x14ac:dyDescent="0.3">
      <c r="A239" s="150">
        <v>44587</v>
      </c>
      <c r="B239" s="17">
        <v>433.38</v>
      </c>
      <c r="C239" s="23">
        <v>-2.5119561517574704E-3</v>
      </c>
    </row>
    <row r="240" spans="1:3" x14ac:dyDescent="0.3">
      <c r="A240" s="150">
        <v>44588</v>
      </c>
      <c r="B240" s="17">
        <v>431.24</v>
      </c>
      <c r="C240" s="23">
        <v>-4.9501616198932364E-3</v>
      </c>
    </row>
    <row r="241" spans="1:3" x14ac:dyDescent="0.3">
      <c r="A241" s="150">
        <v>44589</v>
      </c>
      <c r="B241" s="17">
        <v>441.95</v>
      </c>
      <c r="C241" s="23">
        <v>2.4531973836039653E-2</v>
      </c>
    </row>
    <row r="242" spans="1:3" x14ac:dyDescent="0.3">
      <c r="A242" s="150">
        <v>44592</v>
      </c>
      <c r="B242" s="17">
        <v>449.91</v>
      </c>
      <c r="C242" s="23">
        <v>1.7850809254741543E-2</v>
      </c>
    </row>
    <row r="243" spans="1:3" x14ac:dyDescent="0.3">
      <c r="A243" s="150">
        <v>44593</v>
      </c>
      <c r="B243" s="17">
        <v>452.95</v>
      </c>
      <c r="C243" s="23">
        <v>6.7341813535983465E-3</v>
      </c>
    </row>
    <row r="244" spans="1:3" x14ac:dyDescent="0.3">
      <c r="A244" s="150">
        <v>44594</v>
      </c>
      <c r="B244" s="17">
        <v>457.35</v>
      </c>
      <c r="C244" s="23">
        <v>9.6672179870768392E-3</v>
      </c>
    </row>
    <row r="245" spans="1:3" x14ac:dyDescent="0.3">
      <c r="A245" s="150">
        <v>44595</v>
      </c>
      <c r="B245" s="17">
        <v>446.6</v>
      </c>
      <c r="C245" s="23">
        <v>-2.3785622696316028E-2</v>
      </c>
    </row>
    <row r="246" spans="1:3" x14ac:dyDescent="0.3">
      <c r="A246" s="150">
        <v>44596</v>
      </c>
      <c r="B246" s="17">
        <v>448.7</v>
      </c>
      <c r="C246" s="23">
        <v>4.691173575880018E-3</v>
      </c>
    </row>
    <row r="247" spans="1:3" x14ac:dyDescent="0.3">
      <c r="A247" s="150">
        <v>44599</v>
      </c>
      <c r="B247" s="17">
        <v>447.26</v>
      </c>
      <c r="C247" s="23">
        <v>-3.2144319833665373E-3</v>
      </c>
    </row>
    <row r="248" spans="1:3" x14ac:dyDescent="0.3">
      <c r="A248" s="150">
        <v>44600</v>
      </c>
      <c r="B248" s="17">
        <v>450.94</v>
      </c>
      <c r="C248" s="23">
        <v>8.1942119597949326E-3</v>
      </c>
    </row>
    <row r="249" spans="1:3" x14ac:dyDescent="0.3">
      <c r="A249" s="150">
        <v>44601</v>
      </c>
      <c r="B249" s="17">
        <v>457.54</v>
      </c>
      <c r="C249" s="23">
        <v>1.4530019629271236E-2</v>
      </c>
    </row>
    <row r="250" spans="1:3" x14ac:dyDescent="0.3">
      <c r="A250" s="150">
        <v>44602</v>
      </c>
      <c r="B250" s="17">
        <v>449.32</v>
      </c>
      <c r="C250" s="23">
        <v>-1.8128983814268869E-2</v>
      </c>
    </row>
    <row r="251" spans="1:3" x14ac:dyDescent="0.3">
      <c r="A251" s="150">
        <v>44603</v>
      </c>
      <c r="B251" s="17">
        <v>440.46</v>
      </c>
      <c r="C251" s="23">
        <v>-1.9915693422623563E-2</v>
      </c>
    </row>
    <row r="252" spans="1:3" x14ac:dyDescent="0.3">
      <c r="A252" s="150">
        <v>44606</v>
      </c>
      <c r="B252" s="17">
        <v>439.02</v>
      </c>
      <c r="C252" s="23">
        <v>-3.2746652267514284E-3</v>
      </c>
    </row>
    <row r="253" spans="1:3" x14ac:dyDescent="0.3">
      <c r="A253" s="150">
        <v>44607</v>
      </c>
      <c r="B253" s="17">
        <v>446.1</v>
      </c>
      <c r="C253" s="23">
        <v>1.5998172010225478E-2</v>
      </c>
    </row>
    <row r="254" spans="1:3" x14ac:dyDescent="0.3">
      <c r="A254" s="150">
        <v>44608</v>
      </c>
      <c r="B254" s="17">
        <v>446.6</v>
      </c>
      <c r="C254" s="23">
        <v>1.1201972718384212E-3</v>
      </c>
    </row>
    <row r="255" spans="1:3" x14ac:dyDescent="0.3">
      <c r="A255" s="150">
        <v>44609</v>
      </c>
      <c r="B255" s="17">
        <v>437.06</v>
      </c>
      <c r="C255" s="23">
        <v>-2.1592853964051223E-2</v>
      </c>
    </row>
    <row r="256" spans="1:3" x14ac:dyDescent="0.3">
      <c r="A256" s="150">
        <v>44610</v>
      </c>
      <c r="B256" s="17">
        <v>434.23</v>
      </c>
      <c r="C256" s="23">
        <v>-6.4961378005348241E-3</v>
      </c>
    </row>
  </sheetData>
  <hyperlinks>
    <hyperlink ref="E21" location="Assumptions!A1" display="Jump to front" xr:uid="{54B955A9-96C9-466F-8C56-195A00DF5A07}"/>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8617F-BEAD-423E-9931-FFB38F5AFB6C}">
  <sheetPr codeName="Sheet17"/>
  <dimension ref="B2:I30"/>
  <sheetViews>
    <sheetView showGridLines="0" workbookViewId="0">
      <selection activeCell="C30" sqref="C30"/>
    </sheetView>
  </sheetViews>
  <sheetFormatPr defaultRowHeight="13.8" x14ac:dyDescent="0.3"/>
  <cols>
    <col min="3" max="3" width="14.21875" customWidth="1"/>
  </cols>
  <sheetData>
    <row r="2" spans="3:9" x14ac:dyDescent="0.3">
      <c r="D2" t="s">
        <v>91</v>
      </c>
      <c r="E2" t="s">
        <v>121</v>
      </c>
      <c r="F2" t="s">
        <v>92</v>
      </c>
    </row>
    <row r="3" spans="3:9" x14ac:dyDescent="0.3">
      <c r="C3" t="s">
        <v>191</v>
      </c>
      <c r="D3">
        <v>0.53</v>
      </c>
      <c r="E3">
        <v>0.65</v>
      </c>
      <c r="F3">
        <v>0.78</v>
      </c>
      <c r="H3" t="s">
        <v>192</v>
      </c>
      <c r="I3">
        <v>0.68</v>
      </c>
    </row>
    <row r="5" spans="3:9" x14ac:dyDescent="0.3">
      <c r="C5" t="s">
        <v>126</v>
      </c>
      <c r="D5">
        <f>1.2*4.5</f>
        <v>5.3999999999999995</v>
      </c>
      <c r="E5">
        <f t="shared" ref="E5:F5" si="0">1.2*4.5</f>
        <v>5.3999999999999995</v>
      </c>
      <c r="F5">
        <f t="shared" si="0"/>
        <v>5.3999999999999995</v>
      </c>
      <c r="H5" t="s">
        <v>198</v>
      </c>
      <c r="I5">
        <v>0.05</v>
      </c>
    </row>
    <row r="6" spans="3:9" x14ac:dyDescent="0.3">
      <c r="C6" t="s">
        <v>194</v>
      </c>
      <c r="D6">
        <f>3.5*D3*1.2</f>
        <v>2.226</v>
      </c>
      <c r="E6">
        <f t="shared" ref="E6:F6" si="1">3.5*E3*1.2</f>
        <v>2.73</v>
      </c>
      <c r="F6">
        <f t="shared" si="1"/>
        <v>3.2759999999999998</v>
      </c>
      <c r="H6" t="s">
        <v>199</v>
      </c>
      <c r="I6">
        <v>3</v>
      </c>
    </row>
    <row r="7" spans="3:9" x14ac:dyDescent="0.3">
      <c r="C7" t="s">
        <v>193</v>
      </c>
      <c r="D7">
        <v>2.2999999999999998</v>
      </c>
      <c r="E7">
        <v>2.2999999999999998</v>
      </c>
      <c r="F7">
        <v>2.2999999999999998</v>
      </c>
    </row>
    <row r="8" spans="3:9" x14ac:dyDescent="0.3">
      <c r="D8" s="154">
        <f>D5-D6-D7</f>
        <v>0.87399999999999967</v>
      </c>
      <c r="E8">
        <f t="shared" ref="E8:F8" si="2">E5-E6-E7</f>
        <v>0.36999999999999966</v>
      </c>
      <c r="F8" s="154">
        <f t="shared" si="2"/>
        <v>-0.17600000000000016</v>
      </c>
    </row>
    <row r="10" spans="3:9" x14ac:dyDescent="0.3">
      <c r="C10" t="s">
        <v>200</v>
      </c>
      <c r="D10">
        <f>$I$6*$I$5</f>
        <v>0.15000000000000002</v>
      </c>
      <c r="E10">
        <f t="shared" ref="E10:F10" si="3">$I$6*$I$5</f>
        <v>0.15000000000000002</v>
      </c>
      <c r="F10">
        <f t="shared" si="3"/>
        <v>0.15000000000000002</v>
      </c>
    </row>
    <row r="11" spans="3:9" x14ac:dyDescent="0.3">
      <c r="C11" t="s">
        <v>336</v>
      </c>
      <c r="D11">
        <f>MAX(D3-$I$3,0)*$I$6</f>
        <v>0</v>
      </c>
      <c r="E11">
        <f t="shared" ref="E11:F11" si="4">MAX(E3-$I$3,0)*$I$6</f>
        <v>0</v>
      </c>
      <c r="F11">
        <f t="shared" si="4"/>
        <v>0.29999999999999993</v>
      </c>
    </row>
    <row r="12" spans="3:9" x14ac:dyDescent="0.3">
      <c r="C12" t="s">
        <v>201</v>
      </c>
      <c r="D12" s="154">
        <f>D8-D10+D11</f>
        <v>0.72399999999999964</v>
      </c>
      <c r="E12">
        <f t="shared" ref="E12:F12" si="5">E8-E10+E11</f>
        <v>0.21999999999999964</v>
      </c>
      <c r="F12" s="154">
        <f t="shared" si="5"/>
        <v>-2.6000000000000245E-2</v>
      </c>
    </row>
    <row r="24" spans="2:3" x14ac:dyDescent="0.3">
      <c r="B24" t="s">
        <v>154</v>
      </c>
    </row>
    <row r="25" spans="2:3" x14ac:dyDescent="0.3">
      <c r="B25" s="154" t="s">
        <v>195</v>
      </c>
    </row>
    <row r="26" spans="2:3" x14ac:dyDescent="0.3">
      <c r="B26" t="s">
        <v>196</v>
      </c>
    </row>
    <row r="30" spans="2:3" x14ac:dyDescent="0.3">
      <c r="C30" s="193" t="s">
        <v>342</v>
      </c>
    </row>
  </sheetData>
  <hyperlinks>
    <hyperlink ref="C30" location="Assumptions!A1" display="Jump to front" xr:uid="{509F9DA4-6614-4505-992F-F373011D95A3}"/>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AD121-BA46-4C08-81F7-EDB56211C442}">
  <dimension ref="B1:N29"/>
  <sheetViews>
    <sheetView workbookViewId="0">
      <selection activeCell="I25" sqref="I25"/>
    </sheetView>
  </sheetViews>
  <sheetFormatPr defaultColWidth="9.109375" defaultRowHeight="13.8" x14ac:dyDescent="0.3"/>
  <cols>
    <col min="1" max="1" width="0.44140625" style="1" customWidth="1"/>
    <col min="2" max="2" width="32.44140625" style="1" bestFit="1" customWidth="1"/>
    <col min="3" max="16384" width="9.109375" style="1"/>
  </cols>
  <sheetData>
    <row r="1" spans="2:14" ht="7.5" customHeight="1" thickBot="1" x14ac:dyDescent="0.35"/>
    <row r="2" spans="2:14" x14ac:dyDescent="0.3">
      <c r="B2" s="29" t="s">
        <v>16</v>
      </c>
      <c r="C2" s="194">
        <f>[2]Q1Eu2St!$C$2</f>
        <v>78.930000000000007</v>
      </c>
      <c r="D2" s="194">
        <f>[2]Q1Eu2St!$C$2</f>
        <v>78.930000000000007</v>
      </c>
      <c r="E2" s="194">
        <f>[2]Q1Eu2St!$C$2</f>
        <v>78.930000000000007</v>
      </c>
      <c r="F2" s="195">
        <f>[2]Q1Eu2St!$C$2</f>
        <v>78.930000000000007</v>
      </c>
      <c r="G2" s="196">
        <f>[2]Q1Eu2St!$C$2</f>
        <v>78.930000000000007</v>
      </c>
      <c r="H2" s="194">
        <f>[2]Q1Eu2St!$C$2</f>
        <v>78.930000000000007</v>
      </c>
      <c r="I2" s="194">
        <f>[2]Q1Eu2St!$C$2</f>
        <v>78.930000000000007</v>
      </c>
      <c r="J2" s="195">
        <f>[2]Q1Eu2St!$C$2</f>
        <v>78.930000000000007</v>
      </c>
      <c r="K2" s="194">
        <f>[2]Q1Eu2St!$C$2</f>
        <v>78.930000000000007</v>
      </c>
      <c r="L2" s="194">
        <f>[2]Q1Eu2St!$C$2</f>
        <v>78.930000000000007</v>
      </c>
      <c r="M2" s="194">
        <f>[2]Q1Eu2St!$C$2</f>
        <v>78.930000000000007</v>
      </c>
      <c r="N2" s="194">
        <f>[2]Q1Eu2St!$C$2</f>
        <v>78.930000000000007</v>
      </c>
    </row>
    <row r="3" spans="2:14" x14ac:dyDescent="0.3">
      <c r="B3" s="30" t="s">
        <v>0</v>
      </c>
      <c r="C3" s="176">
        <v>92</v>
      </c>
      <c r="D3" s="176">
        <v>92</v>
      </c>
      <c r="E3" s="176">
        <v>92</v>
      </c>
      <c r="F3" s="197">
        <v>92</v>
      </c>
      <c r="G3" s="198">
        <v>100</v>
      </c>
      <c r="H3" s="176">
        <v>100</v>
      </c>
      <c r="I3" s="176">
        <v>100</v>
      </c>
      <c r="J3" s="197">
        <v>100</v>
      </c>
      <c r="K3" s="176">
        <v>81</v>
      </c>
      <c r="L3" s="176">
        <v>81</v>
      </c>
      <c r="M3" s="176">
        <v>81</v>
      </c>
      <c r="N3" s="176">
        <v>81</v>
      </c>
    </row>
    <row r="4" spans="2:14" x14ac:dyDescent="0.3">
      <c r="B4" s="30" t="s">
        <v>22</v>
      </c>
      <c r="C4" s="27">
        <f t="shared" ref="C4:N4" si="0">LN(1+C5)</f>
        <v>1.980262729617973E-2</v>
      </c>
      <c r="D4" s="27">
        <f t="shared" si="0"/>
        <v>1.980262729617973E-2</v>
      </c>
      <c r="E4" s="27">
        <f t="shared" si="0"/>
        <v>1.980262729617973E-2</v>
      </c>
      <c r="F4" s="24">
        <f t="shared" si="0"/>
        <v>1.980262729617973E-2</v>
      </c>
      <c r="G4" s="199">
        <f t="shared" si="0"/>
        <v>1.980262729617973E-2</v>
      </c>
      <c r="H4" s="27">
        <f t="shared" si="0"/>
        <v>1.980262729617973E-2</v>
      </c>
      <c r="I4" s="27">
        <f t="shared" si="0"/>
        <v>1.980262729617973E-2</v>
      </c>
      <c r="J4" s="24">
        <f t="shared" si="0"/>
        <v>1.980262729617973E-2</v>
      </c>
      <c r="K4" s="27">
        <f t="shared" si="0"/>
        <v>1.980262729617973E-2</v>
      </c>
      <c r="L4" s="27">
        <f t="shared" si="0"/>
        <v>1.980262729617973E-2</v>
      </c>
      <c r="M4" s="27">
        <f t="shared" si="0"/>
        <v>1.980262729617973E-2</v>
      </c>
      <c r="N4" s="27">
        <f t="shared" si="0"/>
        <v>1.980262729617973E-2</v>
      </c>
    </row>
    <row r="5" spans="2:14" x14ac:dyDescent="0.3">
      <c r="B5" s="30" t="s">
        <v>23</v>
      </c>
      <c r="C5" s="27">
        <f>[2]Q1Eu2St!$C$6</f>
        <v>0.02</v>
      </c>
      <c r="D5" s="27">
        <f>[2]Q1Eu2St!$C$6</f>
        <v>0.02</v>
      </c>
      <c r="E5" s="27">
        <f>[2]Q1Eu2St!$C$6</f>
        <v>0.02</v>
      </c>
      <c r="F5" s="24">
        <f>[2]Q1Eu2St!$C$6</f>
        <v>0.02</v>
      </c>
      <c r="G5" s="199">
        <f>[2]Q1Eu2St!$C$6</f>
        <v>0.02</v>
      </c>
      <c r="H5" s="27">
        <f>[2]Q1Eu2St!$C$6</f>
        <v>0.02</v>
      </c>
      <c r="I5" s="27">
        <f>[2]Q1Eu2St!$C$6</f>
        <v>0.02</v>
      </c>
      <c r="J5" s="24">
        <f>[2]Q1Eu2St!$C$6</f>
        <v>0.02</v>
      </c>
      <c r="K5" s="27">
        <f>[2]Q1Eu2St!$C$6</f>
        <v>0.02</v>
      </c>
      <c r="L5" s="27">
        <f>[2]Q1Eu2St!$C$6</f>
        <v>0.02</v>
      </c>
      <c r="M5" s="27">
        <f>[2]Q1Eu2St!$C$6</f>
        <v>0.02</v>
      </c>
      <c r="N5" s="27">
        <f>[2]Q1Eu2St!$C$6</f>
        <v>0.02</v>
      </c>
    </row>
    <row r="6" spans="2:14" ht="14.4" thickBot="1" x14ac:dyDescent="0.35">
      <c r="B6" s="30" t="s">
        <v>4</v>
      </c>
      <c r="C6" s="31">
        <v>0.25</v>
      </c>
      <c r="D6" s="31">
        <v>0.5</v>
      </c>
      <c r="E6" s="31">
        <v>0.75</v>
      </c>
      <c r="F6" s="26">
        <v>1</v>
      </c>
      <c r="G6" s="200">
        <v>0.25</v>
      </c>
      <c r="H6" s="31">
        <v>0.5</v>
      </c>
      <c r="I6" s="31">
        <v>0.75</v>
      </c>
      <c r="J6" s="26">
        <v>1</v>
      </c>
      <c r="K6" s="31">
        <v>0.25</v>
      </c>
      <c r="L6" s="31">
        <v>0.5</v>
      </c>
      <c r="M6" s="31">
        <v>0.75</v>
      </c>
      <c r="N6" s="31">
        <v>1</v>
      </c>
    </row>
    <row r="7" spans="2:14" x14ac:dyDescent="0.3">
      <c r="B7" s="32" t="s">
        <v>24</v>
      </c>
      <c r="C7" s="201">
        <f t="shared" ref="C7:N7" si="1">C2*C16-C3*EXP(-C4*C6)*C17</f>
        <v>1.4041826344600281</v>
      </c>
      <c r="D7" s="201">
        <f t="shared" si="1"/>
        <v>3.2401769039524346</v>
      </c>
      <c r="E7" s="201">
        <f t="shared" si="1"/>
        <v>4.8638017984774216</v>
      </c>
      <c r="F7" s="202">
        <f t="shared" si="1"/>
        <v>6.3198985811810395</v>
      </c>
      <c r="G7" s="203">
        <f t="shared" si="1"/>
        <v>0.52731214209816724</v>
      </c>
      <c r="H7" s="201">
        <f t="shared" si="1"/>
        <v>1.7992446224517948</v>
      </c>
      <c r="I7" s="201">
        <f t="shared" si="1"/>
        <v>3.1313962606028447</v>
      </c>
      <c r="J7" s="202">
        <f t="shared" si="1"/>
        <v>4.4124493688182831</v>
      </c>
      <c r="K7" s="201">
        <f t="shared" si="1"/>
        <v>4.4447342922008843</v>
      </c>
      <c r="L7" s="201">
        <f t="shared" si="1"/>
        <v>6.7615697773533725</v>
      </c>
      <c r="M7" s="201">
        <f t="shared" si="1"/>
        <v>8.5750181155723837</v>
      </c>
      <c r="N7" s="201">
        <f t="shared" si="1"/>
        <v>10.122902052811511</v>
      </c>
    </row>
    <row r="8" spans="2:14" x14ac:dyDescent="0.3">
      <c r="B8" s="30" t="s">
        <v>11</v>
      </c>
      <c r="C8" s="204">
        <f t="shared" ref="C8:N8" si="2">MAX(C2-C3,0)</f>
        <v>0</v>
      </c>
      <c r="D8" s="204">
        <f t="shared" si="2"/>
        <v>0</v>
      </c>
      <c r="E8" s="204">
        <f t="shared" si="2"/>
        <v>0</v>
      </c>
      <c r="F8" s="205">
        <f t="shared" si="2"/>
        <v>0</v>
      </c>
      <c r="G8" s="206">
        <f t="shared" si="2"/>
        <v>0</v>
      </c>
      <c r="H8" s="204">
        <f t="shared" si="2"/>
        <v>0</v>
      </c>
      <c r="I8" s="204">
        <f t="shared" si="2"/>
        <v>0</v>
      </c>
      <c r="J8" s="205">
        <f t="shared" si="2"/>
        <v>0</v>
      </c>
      <c r="K8" s="204">
        <f t="shared" si="2"/>
        <v>0</v>
      </c>
      <c r="L8" s="204">
        <f t="shared" si="2"/>
        <v>0</v>
      </c>
      <c r="M8" s="204">
        <f t="shared" si="2"/>
        <v>0</v>
      </c>
      <c r="N8" s="204">
        <f t="shared" si="2"/>
        <v>0</v>
      </c>
    </row>
    <row r="9" spans="2:14" ht="14.4" thickBot="1" x14ac:dyDescent="0.35">
      <c r="B9" s="33" t="s">
        <v>12</v>
      </c>
      <c r="C9" s="207">
        <f t="shared" ref="C9:N9" si="3">C7-C8</f>
        <v>1.4041826344600281</v>
      </c>
      <c r="D9" s="207">
        <f t="shared" si="3"/>
        <v>3.2401769039524346</v>
      </c>
      <c r="E9" s="207">
        <f t="shared" si="3"/>
        <v>4.8638017984774216</v>
      </c>
      <c r="F9" s="208">
        <f t="shared" si="3"/>
        <v>6.3198985811810395</v>
      </c>
      <c r="G9" s="209">
        <f t="shared" si="3"/>
        <v>0.52731214209816724</v>
      </c>
      <c r="H9" s="207">
        <f t="shared" si="3"/>
        <v>1.7992446224517948</v>
      </c>
      <c r="I9" s="207">
        <f t="shared" si="3"/>
        <v>3.1313962606028447</v>
      </c>
      <c r="J9" s="208">
        <f t="shared" si="3"/>
        <v>4.4124493688182831</v>
      </c>
      <c r="K9" s="207">
        <f t="shared" si="3"/>
        <v>4.4447342922008843</v>
      </c>
      <c r="L9" s="207">
        <f t="shared" si="3"/>
        <v>6.7615697773533725</v>
      </c>
      <c r="M9" s="207">
        <f t="shared" si="3"/>
        <v>8.5750181155723837</v>
      </c>
      <c r="N9" s="207">
        <f t="shared" si="3"/>
        <v>10.122902052811511</v>
      </c>
    </row>
    <row r="10" spans="2:14" x14ac:dyDescent="0.3">
      <c r="B10" s="32" t="s">
        <v>25</v>
      </c>
      <c r="C10" s="201">
        <f t="shared" ref="C10:N10" si="4">C3*EXP(-C4*C6)*C19-C2*C18</f>
        <v>14.0198477626056</v>
      </c>
      <c r="D10" s="201">
        <f t="shared" si="4"/>
        <v>15.403750857806465</v>
      </c>
      <c r="E10" s="201">
        <f t="shared" si="4"/>
        <v>16.577517195276194</v>
      </c>
      <c r="F10" s="202">
        <f t="shared" si="4"/>
        <v>17.585977012553563</v>
      </c>
      <c r="G10" s="203">
        <f t="shared" si="4"/>
        <v>21.103469890082479</v>
      </c>
      <c r="H10" s="201">
        <f t="shared" si="4"/>
        <v>21.883998920119204</v>
      </c>
      <c r="I10" s="201">
        <f t="shared" si="4"/>
        <v>22.727173865818891</v>
      </c>
      <c r="J10" s="202">
        <f t="shared" si="4"/>
        <v>23.521665055092775</v>
      </c>
      <c r="K10" s="201">
        <f t="shared" si="4"/>
        <v>6.1147220680681897</v>
      </c>
      <c r="L10" s="201">
        <f t="shared" si="4"/>
        <v>8.033520758463979</v>
      </c>
      <c r="M10" s="201">
        <f t="shared" si="4"/>
        <v>9.4508979757973819</v>
      </c>
      <c r="N10" s="201">
        <f t="shared" si="4"/>
        <v>10.604666758693853</v>
      </c>
    </row>
    <row r="11" spans="2:14" x14ac:dyDescent="0.3">
      <c r="B11" s="30" t="s">
        <v>13</v>
      </c>
      <c r="C11" s="204">
        <f t="shared" ref="C11:N11" si="5">MAX(C3-C2,0)</f>
        <v>13.069999999999993</v>
      </c>
      <c r="D11" s="204">
        <f t="shared" si="5"/>
        <v>13.069999999999993</v>
      </c>
      <c r="E11" s="204">
        <f t="shared" si="5"/>
        <v>13.069999999999993</v>
      </c>
      <c r="F11" s="205">
        <f t="shared" si="5"/>
        <v>13.069999999999993</v>
      </c>
      <c r="G11" s="206">
        <f t="shared" si="5"/>
        <v>21.069999999999993</v>
      </c>
      <c r="H11" s="204">
        <f t="shared" si="5"/>
        <v>21.069999999999993</v>
      </c>
      <c r="I11" s="204">
        <f t="shared" si="5"/>
        <v>21.069999999999993</v>
      </c>
      <c r="J11" s="205">
        <f t="shared" si="5"/>
        <v>21.069999999999993</v>
      </c>
      <c r="K11" s="204">
        <f t="shared" si="5"/>
        <v>2.0699999999999932</v>
      </c>
      <c r="L11" s="204">
        <f t="shared" si="5"/>
        <v>2.0699999999999932</v>
      </c>
      <c r="M11" s="204">
        <f t="shared" si="5"/>
        <v>2.0699999999999932</v>
      </c>
      <c r="N11" s="204">
        <f t="shared" si="5"/>
        <v>2.0699999999999932</v>
      </c>
    </row>
    <row r="12" spans="2:14" ht="14.4" thickBot="1" x14ac:dyDescent="0.35">
      <c r="B12" s="33" t="s">
        <v>14</v>
      </c>
      <c r="C12" s="207">
        <f t="shared" ref="C12:N12" si="6">C10-C11</f>
        <v>0.94984776260560722</v>
      </c>
      <c r="D12" s="207">
        <f t="shared" si="6"/>
        <v>2.3337508578064714</v>
      </c>
      <c r="E12" s="207">
        <f t="shared" si="6"/>
        <v>3.5075171952762005</v>
      </c>
      <c r="F12" s="208">
        <f t="shared" si="6"/>
        <v>4.5159770125535701</v>
      </c>
      <c r="G12" s="209">
        <f t="shared" si="6"/>
        <v>3.3469890082486131E-2</v>
      </c>
      <c r="H12" s="207">
        <f t="shared" si="6"/>
        <v>0.81399892011921082</v>
      </c>
      <c r="I12" s="207">
        <f t="shared" si="6"/>
        <v>1.6571738658188977</v>
      </c>
      <c r="J12" s="208">
        <f t="shared" si="6"/>
        <v>2.4516650550927821</v>
      </c>
      <c r="K12" s="207">
        <f t="shared" si="6"/>
        <v>4.0447220680681966</v>
      </c>
      <c r="L12" s="207">
        <f t="shared" si="6"/>
        <v>5.9635207584639858</v>
      </c>
      <c r="M12" s="207">
        <f t="shared" si="6"/>
        <v>7.3808979757973887</v>
      </c>
      <c r="N12" s="207">
        <f t="shared" si="6"/>
        <v>8.5346667586938594</v>
      </c>
    </row>
    <row r="13" spans="2:14" x14ac:dyDescent="0.3">
      <c r="B13" s="32" t="s">
        <v>26</v>
      </c>
      <c r="C13" s="28">
        <f>[2]Q1Eu2St!$C$17</f>
        <v>0.32955752802244048</v>
      </c>
      <c r="D13" s="28">
        <f>[2]Q1Eu2St!$C$17</f>
        <v>0.32955752802244048</v>
      </c>
      <c r="E13" s="28">
        <f>[2]Q1Eu2St!$C$17</f>
        <v>0.32955752802244048</v>
      </c>
      <c r="F13" s="210">
        <f>[2]Q1Eu2St!$C$17</f>
        <v>0.32955752802244048</v>
      </c>
      <c r="G13" s="211">
        <f>[2]Q1Eu2St!$C$17</f>
        <v>0.32955752802244048</v>
      </c>
      <c r="H13" s="28">
        <f>[2]Q1Eu2St!$C$17</f>
        <v>0.32955752802244048</v>
      </c>
      <c r="I13" s="28">
        <f>[2]Q1Eu2St!$C$17</f>
        <v>0.32955752802244048</v>
      </c>
      <c r="J13" s="210">
        <f>[2]Q1Eu2St!$C$17</f>
        <v>0.32955752802244048</v>
      </c>
      <c r="K13" s="28">
        <f>[2]Q1Eu2St!$C$17</f>
        <v>0.32955752802244048</v>
      </c>
      <c r="L13" s="28">
        <f>[2]Q1Eu2St!$C$17</f>
        <v>0.32955752802244048</v>
      </c>
      <c r="M13" s="28">
        <f>[2]Q1Eu2St!$C$17</f>
        <v>0.32955752802244048</v>
      </c>
      <c r="N13" s="28">
        <f>[2]Q1Eu2St!$C$17</f>
        <v>0.32955752802244048</v>
      </c>
    </row>
    <row r="14" spans="2:14" x14ac:dyDescent="0.3">
      <c r="B14" s="30" t="s">
        <v>27</v>
      </c>
      <c r="C14" s="34">
        <f t="shared" ref="C14:N14" si="7">(LN(C2/C3)+(C4+C13^2/2)*C6)/(C13*SQRT(C6))</f>
        <v>-0.81746283738952819</v>
      </c>
      <c r="D14" s="34">
        <f t="shared" si="7"/>
        <v>-0.49853092157628909</v>
      </c>
      <c r="E14" s="34">
        <f t="shared" si="7"/>
        <v>-0.3421351966882174</v>
      </c>
      <c r="F14" s="212">
        <f t="shared" si="7"/>
        <v>-0.24008094844379069</v>
      </c>
      <c r="G14" s="213">
        <f t="shared" si="7"/>
        <v>-1.3234844078230417</v>
      </c>
      <c r="H14" s="34">
        <f t="shared" si="7"/>
        <v>-0.85634220545649253</v>
      </c>
      <c r="I14" s="34">
        <f t="shared" si="7"/>
        <v>-0.63428688659376353</v>
      </c>
      <c r="J14" s="212">
        <f t="shared" si="7"/>
        <v>-0.49309173366054743</v>
      </c>
      <c r="K14" s="34">
        <f t="shared" si="7"/>
        <v>-4.4672586529710331E-2</v>
      </c>
      <c r="L14" s="34">
        <f t="shared" si="7"/>
        <v>4.7914305241541243E-2</v>
      </c>
      <c r="M14" s="34">
        <f t="shared" si="7"/>
        <v>0.10403546267281681</v>
      </c>
      <c r="N14" s="34">
        <f t="shared" si="7"/>
        <v>0.14631417698611821</v>
      </c>
    </row>
    <row r="15" spans="2:14" x14ac:dyDescent="0.3">
      <c r="B15" s="30" t="s">
        <v>28</v>
      </c>
      <c r="C15" s="34">
        <f t="shared" ref="C15:N15" si="8">C14-C13*SQRT(C6)</f>
        <v>-0.98224160140074845</v>
      </c>
      <c r="D15" s="34">
        <f t="shared" si="8"/>
        <v>-0.73156328443203245</v>
      </c>
      <c r="E15" s="34">
        <f t="shared" si="8"/>
        <v>-0.62754038796405287</v>
      </c>
      <c r="F15" s="212">
        <f t="shared" si="8"/>
        <v>-0.56963847646623123</v>
      </c>
      <c r="G15" s="213">
        <f t="shared" si="8"/>
        <v>-1.4882631718342618</v>
      </c>
      <c r="H15" s="34">
        <f t="shared" si="8"/>
        <v>-1.0893745683122358</v>
      </c>
      <c r="I15" s="34">
        <f t="shared" si="8"/>
        <v>-0.91969207786959895</v>
      </c>
      <c r="J15" s="212">
        <f t="shared" si="8"/>
        <v>-0.82264926168298791</v>
      </c>
      <c r="K15" s="34">
        <f t="shared" si="8"/>
        <v>-0.20945135054093056</v>
      </c>
      <c r="L15" s="34">
        <f t="shared" si="8"/>
        <v>-0.18511805761420208</v>
      </c>
      <c r="M15" s="34">
        <f t="shared" si="8"/>
        <v>-0.18136972860301864</v>
      </c>
      <c r="N15" s="34">
        <f t="shared" si="8"/>
        <v>-0.18324335103632228</v>
      </c>
    </row>
    <row r="16" spans="2:14" x14ac:dyDescent="0.3">
      <c r="B16" s="30" t="s">
        <v>29</v>
      </c>
      <c r="C16" s="34">
        <f t="shared" ref="C16:N17" si="9">NORMSDIST(C14)</f>
        <v>0.20683198920417023</v>
      </c>
      <c r="D16" s="34">
        <f t="shared" si="9"/>
        <v>0.30905494011774037</v>
      </c>
      <c r="E16" s="34">
        <f t="shared" si="9"/>
        <v>0.36612457543474547</v>
      </c>
      <c r="F16" s="212">
        <f t="shared" si="9"/>
        <v>0.40513375164524457</v>
      </c>
      <c r="G16" s="213">
        <f t="shared" si="9"/>
        <v>9.2837169071059461E-2</v>
      </c>
      <c r="H16" s="34">
        <f t="shared" si="9"/>
        <v>0.19590426126106975</v>
      </c>
      <c r="I16" s="34">
        <f t="shared" si="9"/>
        <v>0.26294680645863522</v>
      </c>
      <c r="J16" s="212">
        <f t="shared" si="9"/>
        <v>0.31097388572126494</v>
      </c>
      <c r="K16" s="34">
        <f t="shared" si="9"/>
        <v>0.48218414232839196</v>
      </c>
      <c r="L16" s="34">
        <f t="shared" si="9"/>
        <v>0.51910773072426397</v>
      </c>
      <c r="M16" s="34">
        <f t="shared" si="9"/>
        <v>0.54142939694447612</v>
      </c>
      <c r="N16" s="34">
        <f t="shared" si="9"/>
        <v>0.55816331265953667</v>
      </c>
    </row>
    <row r="17" spans="2:14" x14ac:dyDescent="0.3">
      <c r="B17" s="30" t="s">
        <v>30</v>
      </c>
      <c r="C17" s="34">
        <f t="shared" si="9"/>
        <v>0.162990418525428</v>
      </c>
      <c r="D17" s="34">
        <f t="shared" si="9"/>
        <v>0.23221758244172877</v>
      </c>
      <c r="E17" s="34">
        <f t="shared" si="9"/>
        <v>0.26515253523506666</v>
      </c>
      <c r="F17" s="212">
        <f t="shared" si="9"/>
        <v>0.28446146309675741</v>
      </c>
      <c r="G17" s="213">
        <f t="shared" si="9"/>
        <v>6.8340751633717958E-2</v>
      </c>
      <c r="H17" s="34">
        <f t="shared" si="9"/>
        <v>0.13799437079657859</v>
      </c>
      <c r="I17" s="34">
        <f t="shared" si="9"/>
        <v>0.17886684684480231</v>
      </c>
      <c r="J17" s="212">
        <f t="shared" si="9"/>
        <v>0.20535373819784386</v>
      </c>
      <c r="K17" s="34">
        <f t="shared" si="9"/>
        <v>0.41704795483658352</v>
      </c>
      <c r="L17" s="34">
        <f t="shared" si="9"/>
        <v>0.4265682192291107</v>
      </c>
      <c r="M17" s="34">
        <f t="shared" si="9"/>
        <v>0.42803868894227126</v>
      </c>
      <c r="N17" s="34">
        <f t="shared" si="9"/>
        <v>0.42730354049029429</v>
      </c>
    </row>
    <row r="18" spans="2:14" x14ac:dyDescent="0.3">
      <c r="B18" s="30" t="s">
        <v>31</v>
      </c>
      <c r="C18" s="34">
        <f t="shared" ref="C18:N19" si="10">NORMSDIST(-C14)</f>
        <v>0.79316801079582977</v>
      </c>
      <c r="D18" s="34">
        <f t="shared" si="10"/>
        <v>0.69094505988225963</v>
      </c>
      <c r="E18" s="34">
        <f t="shared" si="10"/>
        <v>0.63387542456525447</v>
      </c>
      <c r="F18" s="212">
        <f t="shared" si="10"/>
        <v>0.59486624835475543</v>
      </c>
      <c r="G18" s="213">
        <f t="shared" si="10"/>
        <v>0.90716283092894057</v>
      </c>
      <c r="H18" s="34">
        <f t="shared" si="10"/>
        <v>0.80409573873893025</v>
      </c>
      <c r="I18" s="34">
        <f t="shared" si="10"/>
        <v>0.73705319354136478</v>
      </c>
      <c r="J18" s="212">
        <f t="shared" si="10"/>
        <v>0.68902611427873506</v>
      </c>
      <c r="K18" s="34">
        <f t="shared" si="10"/>
        <v>0.51781585767160809</v>
      </c>
      <c r="L18" s="34">
        <f t="shared" si="10"/>
        <v>0.48089226927573603</v>
      </c>
      <c r="M18" s="34">
        <f t="shared" si="10"/>
        <v>0.45857060305552388</v>
      </c>
      <c r="N18" s="34">
        <f t="shared" si="10"/>
        <v>0.44183668734046333</v>
      </c>
    </row>
    <row r="19" spans="2:14" ht="14.4" thickBot="1" x14ac:dyDescent="0.35">
      <c r="B19" s="33" t="s">
        <v>32</v>
      </c>
      <c r="C19" s="35">
        <f t="shared" si="10"/>
        <v>0.83700958147457194</v>
      </c>
      <c r="D19" s="35">
        <f t="shared" si="10"/>
        <v>0.76778241755827126</v>
      </c>
      <c r="E19" s="35">
        <f t="shared" si="10"/>
        <v>0.73484746476493334</v>
      </c>
      <c r="F19" s="214">
        <f t="shared" si="10"/>
        <v>0.71553853690324254</v>
      </c>
      <c r="G19" s="215">
        <f t="shared" si="10"/>
        <v>0.931659248366282</v>
      </c>
      <c r="H19" s="35">
        <f t="shared" si="10"/>
        <v>0.86200562920342139</v>
      </c>
      <c r="I19" s="35">
        <f t="shared" si="10"/>
        <v>0.82113315315519775</v>
      </c>
      <c r="J19" s="214">
        <f t="shared" si="10"/>
        <v>0.79464626180215614</v>
      </c>
      <c r="K19" s="35">
        <f t="shared" si="10"/>
        <v>0.58295204516341648</v>
      </c>
      <c r="L19" s="35">
        <f t="shared" si="10"/>
        <v>0.5734317807708893</v>
      </c>
      <c r="M19" s="35">
        <f t="shared" si="10"/>
        <v>0.57196131105772874</v>
      </c>
      <c r="N19" s="35">
        <f t="shared" si="10"/>
        <v>0.57269645950970571</v>
      </c>
    </row>
    <row r="20" spans="2:14" x14ac:dyDescent="0.3">
      <c r="B20" s="32"/>
      <c r="C20" s="32"/>
      <c r="D20" s="32"/>
      <c r="E20" s="32"/>
      <c r="F20" s="216"/>
      <c r="G20" s="217"/>
      <c r="H20" s="32"/>
      <c r="I20" s="32"/>
      <c r="J20" s="216"/>
      <c r="K20" s="32"/>
      <c r="L20" s="32"/>
      <c r="M20" s="32"/>
      <c r="N20" s="32"/>
    </row>
    <row r="21" spans="2:14" ht="14.4" thickBot="1" x14ac:dyDescent="0.35">
      <c r="B21" s="33" t="s">
        <v>312</v>
      </c>
      <c r="C21" s="33"/>
      <c r="D21" s="33"/>
      <c r="E21" s="33"/>
      <c r="F21" s="218"/>
      <c r="G21" s="209">
        <f>G7-K10</f>
        <v>-5.5874099259700225</v>
      </c>
      <c r="H21" s="207">
        <f t="shared" ref="H21:J21" si="11">H7-L10</f>
        <v>-6.2342761360121841</v>
      </c>
      <c r="I21" s="207">
        <f t="shared" si="11"/>
        <v>-6.3195017151945372</v>
      </c>
      <c r="J21" s="208">
        <f t="shared" si="11"/>
        <v>-6.1922173898755695</v>
      </c>
      <c r="K21" s="33"/>
      <c r="L21" s="33"/>
      <c r="M21" s="33"/>
      <c r="N21" s="33"/>
    </row>
    <row r="23" spans="2:14" x14ac:dyDescent="0.3">
      <c r="C23" s="13"/>
      <c r="E23" s="2"/>
    </row>
    <row r="24" spans="2:14" x14ac:dyDescent="0.3">
      <c r="C24" s="13"/>
      <c r="D24" s="2"/>
      <c r="E24" s="2"/>
      <c r="F24" s="2"/>
    </row>
    <row r="25" spans="2:14" x14ac:dyDescent="0.3">
      <c r="C25" s="13"/>
      <c r="E25" s="2"/>
      <c r="F25" s="2"/>
    </row>
    <row r="26" spans="2:14" x14ac:dyDescent="0.3">
      <c r="C26" s="13"/>
      <c r="E26" s="2"/>
      <c r="F26" s="2"/>
    </row>
    <row r="27" spans="2:14" x14ac:dyDescent="0.3">
      <c r="B27" s="193" t="s">
        <v>342</v>
      </c>
      <c r="C27" s="13"/>
    </row>
    <row r="28" spans="2:14" x14ac:dyDescent="0.3">
      <c r="C28" s="13"/>
    </row>
    <row r="29" spans="2:14" x14ac:dyDescent="0.3">
      <c r="C29" s="13"/>
    </row>
  </sheetData>
  <hyperlinks>
    <hyperlink ref="B27" location="Assumptions!A1" display="Jump to front" xr:uid="{34C4B505-440D-4CA8-9128-FEEA855A1769}"/>
  </hyperlinks>
  <pageMargins left="0.7" right="0.7" top="0.75" bottom="0.75" header="0.3" footer="0.3"/>
  <pageSetup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AECF6-9DC5-4FDF-9F67-2456268F94E2}">
  <dimension ref="A1:F32"/>
  <sheetViews>
    <sheetView topLeftCell="A2" workbookViewId="0">
      <selection activeCell="A32" sqref="A32"/>
    </sheetView>
  </sheetViews>
  <sheetFormatPr defaultColWidth="9.109375" defaultRowHeight="13.8" x14ac:dyDescent="0.3"/>
  <cols>
    <col min="1" max="1" width="50.44140625" style="1" bestFit="1" customWidth="1"/>
    <col min="2" max="16384" width="9.109375" style="1"/>
  </cols>
  <sheetData>
    <row r="1" spans="1:6" x14ac:dyDescent="0.3">
      <c r="A1" s="219" t="s">
        <v>313</v>
      </c>
      <c r="B1" s="220">
        <v>2.8439999999999999</v>
      </c>
      <c r="C1" s="219"/>
      <c r="D1" s="219"/>
      <c r="E1" s="219"/>
    </row>
    <row r="2" spans="1:6" x14ac:dyDescent="0.3">
      <c r="B2" s="221"/>
    </row>
    <row r="3" spans="1:6" x14ac:dyDescent="0.3">
      <c r="A3" s="219" t="s">
        <v>314</v>
      </c>
      <c r="B3" s="222" t="s">
        <v>315</v>
      </c>
      <c r="C3" s="222" t="s">
        <v>316</v>
      </c>
      <c r="D3" s="222" t="s">
        <v>103</v>
      </c>
      <c r="E3" s="222" t="s">
        <v>128</v>
      </c>
    </row>
    <row r="4" spans="1:6" x14ac:dyDescent="0.3">
      <c r="A4" s="1" t="s">
        <v>317</v>
      </c>
      <c r="B4" s="175">
        <v>0.6</v>
      </c>
      <c r="C4" s="176">
        <v>92</v>
      </c>
      <c r="D4" s="2">
        <f>[2]Q2BSM!C7</f>
        <v>1.4041826344600281</v>
      </c>
      <c r="E4" s="2">
        <f>D4*B4</f>
        <v>0.84250958067601689</v>
      </c>
    </row>
    <row r="5" spans="1:6" x14ac:dyDescent="0.3">
      <c r="A5" s="1" t="s">
        <v>317</v>
      </c>
      <c r="B5" s="175">
        <v>0.8</v>
      </c>
      <c r="C5" s="176">
        <v>100</v>
      </c>
      <c r="D5" s="2">
        <f>[2]Q2BSM!G7</f>
        <v>0.52731214209816724</v>
      </c>
      <c r="E5" s="2">
        <f t="shared" ref="E5" si="0">D5*B5</f>
        <v>0.4218497136785338</v>
      </c>
    </row>
    <row r="6" spans="1:6" x14ac:dyDescent="0.3">
      <c r="A6" s="1" t="s">
        <v>7</v>
      </c>
      <c r="B6" s="175">
        <v>-0.8</v>
      </c>
      <c r="C6" s="176">
        <v>81</v>
      </c>
      <c r="D6" s="2">
        <f>[2]Q2BSM!K10</f>
        <v>6.1147220680681897</v>
      </c>
      <c r="E6" s="2">
        <f>D6*B6</f>
        <v>-4.8917776544545521</v>
      </c>
      <c r="F6" s="2"/>
    </row>
    <row r="8" spans="1:6" x14ac:dyDescent="0.3">
      <c r="A8" s="219" t="s">
        <v>318</v>
      </c>
      <c r="B8" s="219"/>
      <c r="C8" s="222" t="s">
        <v>319</v>
      </c>
      <c r="D8" s="223" t="s">
        <v>320</v>
      </c>
      <c r="E8" s="224" t="s">
        <v>321</v>
      </c>
    </row>
    <row r="9" spans="1:6" x14ac:dyDescent="0.3">
      <c r="A9" s="1" t="s">
        <v>322</v>
      </c>
      <c r="C9" s="175">
        <v>130</v>
      </c>
      <c r="D9" s="175">
        <v>125</v>
      </c>
      <c r="E9" s="1">
        <f>D9</f>
        <v>125</v>
      </c>
    </row>
    <row r="10" spans="1:6" x14ac:dyDescent="0.3">
      <c r="A10" s="1" t="s">
        <v>323</v>
      </c>
      <c r="C10" s="221">
        <v>3</v>
      </c>
      <c r="D10" s="221">
        <v>3.5</v>
      </c>
      <c r="E10" s="221">
        <v>2.5</v>
      </c>
    </row>
    <row r="11" spans="1:6" x14ac:dyDescent="0.3">
      <c r="A11" s="1" t="s">
        <v>324</v>
      </c>
      <c r="C11" s="221"/>
      <c r="D11" s="221">
        <v>106</v>
      </c>
      <c r="E11" s="221">
        <v>75</v>
      </c>
    </row>
    <row r="12" spans="1:6" x14ac:dyDescent="0.3">
      <c r="C12" s="221"/>
      <c r="D12" s="221"/>
      <c r="E12" s="221"/>
    </row>
    <row r="13" spans="1:6" x14ac:dyDescent="0.3">
      <c r="A13" s="1" t="s">
        <v>325</v>
      </c>
      <c r="C13" s="221">
        <f>C9*C10</f>
        <v>390</v>
      </c>
      <c r="D13" s="225">
        <f>C13</f>
        <v>390</v>
      </c>
      <c r="E13" s="225">
        <f>C13</f>
        <v>390</v>
      </c>
    </row>
    <row r="14" spans="1:6" x14ac:dyDescent="0.3">
      <c r="A14" s="1" t="s">
        <v>326</v>
      </c>
      <c r="D14" s="184">
        <f>D10*D9</f>
        <v>437.5</v>
      </c>
      <c r="E14" s="184">
        <f>D9*E10</f>
        <v>312.5</v>
      </c>
    </row>
    <row r="15" spans="1:6" x14ac:dyDescent="0.3">
      <c r="A15" s="1" t="s">
        <v>327</v>
      </c>
      <c r="D15" s="183">
        <f>D13-D14</f>
        <v>-47.5</v>
      </c>
      <c r="E15" s="183">
        <f>E13-E14</f>
        <v>77.5</v>
      </c>
    </row>
    <row r="16" spans="1:6" x14ac:dyDescent="0.3">
      <c r="D16" s="183"/>
      <c r="E16" s="183"/>
    </row>
    <row r="17" spans="1:5" x14ac:dyDescent="0.3">
      <c r="A17" s="1" t="s">
        <v>328</v>
      </c>
      <c r="D17" s="2">
        <f>MAX((D11-C4),0)*B4</f>
        <v>8.4</v>
      </c>
      <c r="E17" s="2">
        <f>MAX((E11-C4),0)*B4</f>
        <v>0</v>
      </c>
    </row>
    <row r="18" spans="1:5" x14ac:dyDescent="0.3">
      <c r="A18" s="1" t="s">
        <v>329</v>
      </c>
      <c r="D18" s="226">
        <f>MAX(D11-C5,0)*B5+MAX(C6-D11,0)*B6</f>
        <v>4.8000000000000007</v>
      </c>
      <c r="E18" s="226">
        <f>MAX(E11-C5,0)*B5+MAX(C6-E11,0)*B6</f>
        <v>-4.8000000000000007</v>
      </c>
    </row>
    <row r="19" spans="1:5" x14ac:dyDescent="0.3">
      <c r="A19" s="1" t="s">
        <v>330</v>
      </c>
      <c r="D19" s="2">
        <f>D17+D18</f>
        <v>13.200000000000001</v>
      </c>
      <c r="E19" s="2">
        <f>E17+E18</f>
        <v>-4.8000000000000007</v>
      </c>
    </row>
    <row r="20" spans="1:5" x14ac:dyDescent="0.3">
      <c r="D20" s="2"/>
      <c r="E20" s="2"/>
    </row>
    <row r="21" spans="1:5" x14ac:dyDescent="0.3">
      <c r="A21" s="1" t="s">
        <v>331</v>
      </c>
      <c r="D21" s="2">
        <f>E4</f>
        <v>0.84250958067601689</v>
      </c>
      <c r="E21" s="2">
        <f>E4</f>
        <v>0.84250958067601689</v>
      </c>
    </row>
    <row r="22" spans="1:5" x14ac:dyDescent="0.3">
      <c r="A22" s="1" t="s">
        <v>332</v>
      </c>
      <c r="D22" s="226">
        <f>E5+E6</f>
        <v>-4.4699279407760182</v>
      </c>
      <c r="E22" s="226">
        <f>E5+E6</f>
        <v>-4.4699279407760182</v>
      </c>
    </row>
    <row r="23" spans="1:5" x14ac:dyDescent="0.3">
      <c r="A23" s="1" t="s">
        <v>33</v>
      </c>
      <c r="D23" s="2">
        <f>D21+D22</f>
        <v>-3.6274183601000014</v>
      </c>
      <c r="E23" s="2">
        <f>E21+E22</f>
        <v>-3.6274183601000014</v>
      </c>
    </row>
    <row r="25" spans="1:5" x14ac:dyDescent="0.3">
      <c r="A25" s="1" t="s">
        <v>333</v>
      </c>
      <c r="D25" s="2">
        <f>D19-D23</f>
        <v>16.827418360100001</v>
      </c>
      <c r="E25" s="2">
        <f>E19-E23</f>
        <v>-1.1725816398999993</v>
      </c>
    </row>
    <row r="27" spans="1:5" x14ac:dyDescent="0.3">
      <c r="A27" s="1" t="s">
        <v>334</v>
      </c>
      <c r="D27" s="2">
        <f>D15+D25</f>
        <v>-30.672581639899999</v>
      </c>
      <c r="E27" s="2">
        <f>E15+E25</f>
        <v>76.327418360099998</v>
      </c>
    </row>
    <row r="29" spans="1:5" x14ac:dyDescent="0.3">
      <c r="A29" s="227" t="s">
        <v>335</v>
      </c>
      <c r="B29" s="227"/>
      <c r="C29" s="184">
        <f>C13</f>
        <v>390</v>
      </c>
      <c r="D29" s="184">
        <f>D14-D25</f>
        <v>420.67258163989999</v>
      </c>
      <c r="E29" s="184">
        <f>E14-E25</f>
        <v>313.67258163989999</v>
      </c>
    </row>
    <row r="32" spans="1:5" x14ac:dyDescent="0.3">
      <c r="A32" s="193" t="s">
        <v>342</v>
      </c>
    </row>
  </sheetData>
  <hyperlinks>
    <hyperlink ref="A32" location="Assumptions!A1" display="Jump to front" xr:uid="{426EB961-5699-4B8F-80B6-090478910ECC}"/>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89F11-2944-45CF-8284-46D7C6571EE1}">
  <sheetPr codeName="Sheet18"/>
  <dimension ref="A1:N33"/>
  <sheetViews>
    <sheetView showGridLines="0" workbookViewId="0">
      <selection activeCell="D21" sqref="D21"/>
    </sheetView>
  </sheetViews>
  <sheetFormatPr defaultColWidth="8.77734375" defaultRowHeight="13.8" x14ac:dyDescent="0.3"/>
  <cols>
    <col min="1" max="1" width="44.77734375" style="161" bestFit="1" customWidth="1"/>
    <col min="2" max="16384" width="8.77734375" style="161"/>
  </cols>
  <sheetData>
    <row r="1" spans="1:14" x14ac:dyDescent="0.3">
      <c r="A1" s="161" t="s">
        <v>111</v>
      </c>
      <c r="B1" s="138">
        <v>251</v>
      </c>
    </row>
    <row r="2" spans="1:14" x14ac:dyDescent="0.3">
      <c r="A2" s="161" t="s">
        <v>112</v>
      </c>
      <c r="B2" s="139">
        <v>1050</v>
      </c>
    </row>
    <row r="3" spans="1:14" x14ac:dyDescent="0.3">
      <c r="A3" s="161" t="s">
        <v>113</v>
      </c>
      <c r="B3" s="140">
        <v>2100</v>
      </c>
    </row>
    <row r="4" spans="1:14" x14ac:dyDescent="0.3">
      <c r="A4" s="161" t="s">
        <v>114</v>
      </c>
      <c r="B4" s="140">
        <v>500</v>
      </c>
      <c r="I4" s="161" t="s">
        <v>288</v>
      </c>
      <c r="K4" s="161">
        <v>1</v>
      </c>
      <c r="L4" s="161">
        <v>2</v>
      </c>
      <c r="M4" s="161" t="s">
        <v>289</v>
      </c>
    </row>
    <row r="5" spans="1:14" x14ac:dyDescent="0.3">
      <c r="A5" s="161" t="s">
        <v>115</v>
      </c>
      <c r="B5" s="140">
        <v>14</v>
      </c>
      <c r="I5" s="161" t="s">
        <v>290</v>
      </c>
      <c r="K5" s="161">
        <v>2</v>
      </c>
      <c r="L5" s="161">
        <v>14</v>
      </c>
      <c r="M5" s="161" t="s">
        <v>291</v>
      </c>
    </row>
    <row r="6" spans="1:14" x14ac:dyDescent="0.3">
      <c r="A6" s="161" t="s">
        <v>116</v>
      </c>
      <c r="B6" s="140">
        <v>2</v>
      </c>
      <c r="I6" s="161" t="s">
        <v>292</v>
      </c>
      <c r="K6" s="161">
        <v>2</v>
      </c>
      <c r="L6" s="161">
        <f>L4*L5</f>
        <v>28</v>
      </c>
      <c r="M6" s="161" t="s">
        <v>293</v>
      </c>
      <c r="N6" s="166"/>
    </row>
    <row r="7" spans="1:14" x14ac:dyDescent="0.3">
      <c r="A7" s="161" t="s">
        <v>117</v>
      </c>
      <c r="B7" s="141">
        <v>2</v>
      </c>
    </row>
    <row r="8" spans="1:14" x14ac:dyDescent="0.3">
      <c r="A8" s="161" t="s">
        <v>118</v>
      </c>
      <c r="B8" s="141">
        <v>1</v>
      </c>
    </row>
    <row r="9" spans="1:14" x14ac:dyDescent="0.3">
      <c r="A9" s="161" t="s">
        <v>0</v>
      </c>
      <c r="B9" s="142">
        <f>B1</f>
        <v>251</v>
      </c>
    </row>
    <row r="10" spans="1:14" x14ac:dyDescent="0.3">
      <c r="A10" s="161" t="s">
        <v>119</v>
      </c>
      <c r="B10" s="177" t="s">
        <v>120</v>
      </c>
      <c r="C10" s="177" t="s">
        <v>121</v>
      </c>
      <c r="D10" s="177" t="s">
        <v>122</v>
      </c>
    </row>
    <row r="11" spans="1:14" x14ac:dyDescent="0.3">
      <c r="A11" s="161" t="s">
        <v>123</v>
      </c>
      <c r="B11" s="138">
        <v>1.9</v>
      </c>
      <c r="C11" s="143">
        <v>2</v>
      </c>
      <c r="D11" s="138">
        <v>2.1</v>
      </c>
    </row>
    <row r="12" spans="1:14" x14ac:dyDescent="0.3">
      <c r="A12" s="161" t="s">
        <v>124</v>
      </c>
      <c r="B12" s="139">
        <v>220</v>
      </c>
      <c r="C12" s="139">
        <v>300</v>
      </c>
      <c r="D12" s="139">
        <v>380</v>
      </c>
      <c r="E12" s="161" t="s">
        <v>294</v>
      </c>
    </row>
    <row r="13" spans="1:14" x14ac:dyDescent="0.3">
      <c r="A13" s="161" t="s">
        <v>125</v>
      </c>
      <c r="B13" s="140">
        <v>220</v>
      </c>
      <c r="C13" s="140">
        <v>251</v>
      </c>
      <c r="D13" s="140">
        <v>260</v>
      </c>
    </row>
    <row r="16" spans="1:14" x14ac:dyDescent="0.3">
      <c r="C16" s="161" t="s">
        <v>120</v>
      </c>
      <c r="D16" s="161" t="s">
        <v>121</v>
      </c>
      <c r="E16" s="161" t="s">
        <v>122</v>
      </c>
    </row>
    <row r="17" spans="1:5" x14ac:dyDescent="0.3">
      <c r="B17" s="161" t="s">
        <v>295</v>
      </c>
      <c r="C17" s="161">
        <v>1.9</v>
      </c>
      <c r="D17" s="161">
        <v>2</v>
      </c>
      <c r="E17" s="161">
        <v>2.1</v>
      </c>
    </row>
    <row r="18" spans="1:5" x14ac:dyDescent="0.3">
      <c r="B18" s="161" t="s">
        <v>296</v>
      </c>
      <c r="C18" s="188">
        <f>C17*$B$2</f>
        <v>1995</v>
      </c>
      <c r="D18" s="188">
        <f t="shared" ref="D18:E18" si="0">D17*$B$2</f>
        <v>2100</v>
      </c>
      <c r="E18" s="188">
        <f t="shared" si="0"/>
        <v>2205</v>
      </c>
    </row>
    <row r="19" spans="1:5" x14ac:dyDescent="0.3">
      <c r="B19" s="161" t="s">
        <v>297</v>
      </c>
      <c r="C19" s="161">
        <v>220</v>
      </c>
      <c r="D19" s="161">
        <v>300</v>
      </c>
      <c r="E19" s="161">
        <v>380</v>
      </c>
    </row>
    <row r="20" spans="1:5" x14ac:dyDescent="0.3">
      <c r="B20" s="161" t="s">
        <v>194</v>
      </c>
      <c r="C20" s="161">
        <f>C17*C19</f>
        <v>418</v>
      </c>
      <c r="D20" s="161">
        <f>D17*D19</f>
        <v>600</v>
      </c>
      <c r="E20" s="161">
        <f t="shared" ref="D20:E20" si="1">E17*E19</f>
        <v>798</v>
      </c>
    </row>
    <row r="21" spans="1:5" x14ac:dyDescent="0.3">
      <c r="B21" s="161" t="s">
        <v>298</v>
      </c>
      <c r="C21" s="188">
        <v>1000</v>
      </c>
      <c r="D21" s="188">
        <f>D18-D20-D22</f>
        <v>1000</v>
      </c>
      <c r="E21" s="188">
        <v>1000</v>
      </c>
    </row>
    <row r="22" spans="1:5" x14ac:dyDescent="0.3">
      <c r="A22" s="161" t="s">
        <v>299</v>
      </c>
      <c r="B22" s="161" t="s">
        <v>127</v>
      </c>
      <c r="C22" s="188">
        <f>C18-C20-C21</f>
        <v>577</v>
      </c>
      <c r="D22" s="161">
        <v>500</v>
      </c>
      <c r="E22" s="189">
        <f>E18-E20-E21</f>
        <v>407</v>
      </c>
    </row>
    <row r="24" spans="1:5" x14ac:dyDescent="0.3">
      <c r="A24" s="161" t="s">
        <v>300</v>
      </c>
      <c r="C24" s="161">
        <f>$L$6</f>
        <v>28</v>
      </c>
      <c r="D24" s="161">
        <f t="shared" ref="D24:E24" si="2">$L$6</f>
        <v>28</v>
      </c>
      <c r="E24" s="161">
        <f t="shared" si="2"/>
        <v>28</v>
      </c>
    </row>
    <row r="25" spans="1:5" x14ac:dyDescent="0.3">
      <c r="A25" s="161" t="s">
        <v>180</v>
      </c>
      <c r="C25" s="188">
        <f t="shared" ref="C25" si="3">MAX(B13-$B$1,0)*$L$4</f>
        <v>0</v>
      </c>
      <c r="D25" s="188">
        <f>MAX(C13-$B$1,0)*$L$4</f>
        <v>0</v>
      </c>
      <c r="E25" s="188">
        <f t="shared" ref="E25" si="4">MAX(D13-$B$1,0)*$L$4</f>
        <v>18</v>
      </c>
    </row>
    <row r="26" spans="1:5" x14ac:dyDescent="0.3">
      <c r="A26" s="161" t="s">
        <v>301</v>
      </c>
      <c r="C26" s="188">
        <f>C22-C24+C25</f>
        <v>549</v>
      </c>
      <c r="D26" s="188">
        <f t="shared" ref="D26:E26" si="5">D22-D24+D25</f>
        <v>472</v>
      </c>
      <c r="E26" s="189">
        <f t="shared" si="5"/>
        <v>397</v>
      </c>
    </row>
    <row r="28" spans="1:5" x14ac:dyDescent="0.3">
      <c r="A28" s="161" t="s">
        <v>302</v>
      </c>
      <c r="C28" s="161">
        <f>2</f>
        <v>2</v>
      </c>
      <c r="D28" s="161">
        <f>2</f>
        <v>2</v>
      </c>
      <c r="E28" s="161">
        <f>2</f>
        <v>2</v>
      </c>
    </row>
    <row r="29" spans="1:5" x14ac:dyDescent="0.3">
      <c r="A29" s="161" t="s">
        <v>303</v>
      </c>
      <c r="C29" s="190">
        <f>-MAX($B$1-B13,0)</f>
        <v>-31</v>
      </c>
      <c r="D29" s="190">
        <f>-MAX($B$1-C13,0)</f>
        <v>0</v>
      </c>
      <c r="E29" s="190">
        <f t="shared" ref="E29" si="6">-MAX($B$1-D13,0)</f>
        <v>0</v>
      </c>
    </row>
    <row r="30" spans="1:5" x14ac:dyDescent="0.3">
      <c r="A30" s="161" t="s">
        <v>304</v>
      </c>
      <c r="C30" s="189">
        <f>C26+C28+C29</f>
        <v>520</v>
      </c>
      <c r="D30" s="188">
        <f t="shared" ref="D30:E30" si="7">D26+D28+D29</f>
        <v>474</v>
      </c>
      <c r="E30" s="188">
        <f t="shared" si="7"/>
        <v>399</v>
      </c>
    </row>
    <row r="33" spans="1:1" x14ac:dyDescent="0.3">
      <c r="A33" s="193" t="s">
        <v>342</v>
      </c>
    </row>
  </sheetData>
  <hyperlinks>
    <hyperlink ref="A33" location="Assumptions!A1" display="Jump to front" xr:uid="{41F2EDEE-2C6C-4361-9FA0-46E8171D5455}"/>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C9DFD-3C3A-4403-88C4-784ABF79FE11}">
  <sheetPr codeName="Sheet19"/>
  <dimension ref="B1:L257"/>
  <sheetViews>
    <sheetView workbookViewId="0">
      <selection activeCell="B29" sqref="B29"/>
    </sheetView>
  </sheetViews>
  <sheetFormatPr defaultColWidth="9.109375" defaultRowHeight="13.8" x14ac:dyDescent="0.3"/>
  <cols>
    <col min="1" max="1" width="0.44140625" style="1" customWidth="1"/>
    <col min="2" max="2" width="32.44140625" style="1" bestFit="1" customWidth="1"/>
    <col min="3" max="7" width="9.109375" style="1"/>
    <col min="8" max="8" width="13.88671875" style="1" customWidth="1"/>
    <col min="9" max="16384" width="9.109375" style="1"/>
  </cols>
  <sheetData>
    <row r="1" spans="2:12" ht="7.5" customHeight="1" thickBot="1" x14ac:dyDescent="0.35"/>
    <row r="2" spans="2:12" x14ac:dyDescent="0.3">
      <c r="B2" s="29" t="s">
        <v>16</v>
      </c>
      <c r="C2" s="50">
        <v>204.39</v>
      </c>
      <c r="H2" s="148" t="s">
        <v>102</v>
      </c>
      <c r="I2" s="149" t="s">
        <v>103</v>
      </c>
    </row>
    <row r="3" spans="2:12" x14ac:dyDescent="0.3">
      <c r="B3" s="30" t="s">
        <v>0</v>
      </c>
      <c r="C3" s="52">
        <v>220</v>
      </c>
      <c r="H3" s="150">
        <v>44245</v>
      </c>
      <c r="I3" s="17">
        <v>191.41</v>
      </c>
    </row>
    <row r="4" spans="2:12" x14ac:dyDescent="0.3">
      <c r="B4" s="30" t="s">
        <v>22</v>
      </c>
      <c r="C4" s="27">
        <v>4.0000000000000001E-3</v>
      </c>
      <c r="H4" s="150">
        <v>44246</v>
      </c>
      <c r="I4" s="17">
        <v>188.82</v>
      </c>
      <c r="J4" s="1">
        <f>LN(I4/I3)</f>
        <v>-1.3623543953647914E-2</v>
      </c>
      <c r="L4" s="1">
        <f>_xlfn.STDEV.S(J4:J257)</f>
        <v>1.4283949914122837E-2</v>
      </c>
    </row>
    <row r="5" spans="2:12" x14ac:dyDescent="0.3">
      <c r="B5" s="30" t="s">
        <v>23</v>
      </c>
      <c r="C5" s="27">
        <v>4.0000000000000001E-3</v>
      </c>
      <c r="H5" s="150">
        <v>44249</v>
      </c>
      <c r="I5" s="17">
        <v>188.99</v>
      </c>
      <c r="J5" s="1">
        <f t="shared" ref="J5:J68" si="0">LN(I5/I4)</f>
        <v>8.9992330257574241E-4</v>
      </c>
      <c r="L5" s="23">
        <f>L4*SQRT(254)</f>
        <v>0.22764870126554451</v>
      </c>
    </row>
    <row r="6" spans="2:12" ht="14.4" thickBot="1" x14ac:dyDescent="0.35">
      <c r="B6" s="30" t="s">
        <v>4</v>
      </c>
      <c r="C6" s="31">
        <v>0.25</v>
      </c>
      <c r="H6" s="150">
        <v>44250</v>
      </c>
      <c r="I6" s="17">
        <v>186.36</v>
      </c>
      <c r="J6" s="1">
        <f t="shared" si="0"/>
        <v>-1.4013816658350071E-2</v>
      </c>
    </row>
    <row r="7" spans="2:12" x14ac:dyDescent="0.3">
      <c r="B7" s="32" t="s">
        <v>24</v>
      </c>
      <c r="C7" s="53">
        <f>C2*C16-C3*EXP(-C4*C6)*C17</f>
        <v>3.8213371527536424</v>
      </c>
      <c r="E7" s="17"/>
      <c r="F7" s="17"/>
      <c r="H7" s="150">
        <v>44251</v>
      </c>
      <c r="I7" s="17">
        <v>187.08</v>
      </c>
      <c r="J7" s="1">
        <f t="shared" si="0"/>
        <v>3.8560459090895166E-3</v>
      </c>
    </row>
    <row r="8" spans="2:12" x14ac:dyDescent="0.3">
      <c r="B8" s="30" t="s">
        <v>11</v>
      </c>
      <c r="C8" s="52">
        <f>MAX(C2-C3,0)</f>
        <v>0</v>
      </c>
      <c r="E8" s="58"/>
      <c r="F8" s="58"/>
      <c r="H8" s="150">
        <v>44252</v>
      </c>
      <c r="I8" s="17">
        <v>185.08</v>
      </c>
      <c r="J8" s="1">
        <f t="shared" si="0"/>
        <v>-1.0748168818886648E-2</v>
      </c>
    </row>
    <row r="9" spans="2:12" ht="14.4" thickBot="1" x14ac:dyDescent="0.35">
      <c r="B9" s="33" t="s">
        <v>12</v>
      </c>
      <c r="C9" s="54">
        <f>C7-C8</f>
        <v>3.8213371527536424</v>
      </c>
      <c r="E9" s="58"/>
      <c r="F9" s="58"/>
      <c r="H9" s="150">
        <v>44253</v>
      </c>
      <c r="I9" s="17">
        <v>183.44</v>
      </c>
      <c r="J9" s="1">
        <f t="shared" si="0"/>
        <v>-8.9005254891498971E-3</v>
      </c>
    </row>
    <row r="10" spans="2:12" x14ac:dyDescent="0.3">
      <c r="B10" s="32" t="s">
        <v>25</v>
      </c>
      <c r="C10" s="53">
        <f>C3*EXP(-C4*C6)*C19-C2*C18</f>
        <v>19.211447116096167</v>
      </c>
      <c r="H10" s="150">
        <v>44256</v>
      </c>
      <c r="I10" s="17">
        <v>186.09</v>
      </c>
      <c r="J10" s="1">
        <f t="shared" si="0"/>
        <v>1.4342789103486828E-2</v>
      </c>
    </row>
    <row r="11" spans="2:12" x14ac:dyDescent="0.3">
      <c r="B11" s="30" t="s">
        <v>13</v>
      </c>
      <c r="C11" s="52">
        <f>MAX(C3-C2,0)</f>
        <v>15.610000000000014</v>
      </c>
      <c r="H11" s="150">
        <v>44257</v>
      </c>
      <c r="I11" s="17">
        <v>173.49</v>
      </c>
      <c r="J11" s="1">
        <f t="shared" si="0"/>
        <v>-7.0110466814899228E-2</v>
      </c>
    </row>
    <row r="12" spans="2:12" ht="14.4" thickBot="1" x14ac:dyDescent="0.35">
      <c r="B12" s="33" t="s">
        <v>14</v>
      </c>
      <c r="C12" s="54">
        <f>C10-C11</f>
        <v>3.6014471160961534</v>
      </c>
      <c r="H12" s="150">
        <v>44258</v>
      </c>
      <c r="I12" s="17">
        <v>173.61</v>
      </c>
      <c r="J12" s="1">
        <f t="shared" si="0"/>
        <v>6.9144341562048261E-4</v>
      </c>
    </row>
    <row r="13" spans="2:12" x14ac:dyDescent="0.3">
      <c r="B13" s="32" t="s">
        <v>26</v>
      </c>
      <c r="C13" s="28">
        <f>L5</f>
        <v>0.22764870126554451</v>
      </c>
      <c r="H13" s="150">
        <v>44259</v>
      </c>
      <c r="I13" s="17">
        <v>169.82</v>
      </c>
      <c r="J13" s="1">
        <f t="shared" si="0"/>
        <v>-2.2072351682639886E-2</v>
      </c>
    </row>
    <row r="14" spans="2:12" x14ac:dyDescent="0.3">
      <c r="B14" s="30" t="s">
        <v>27</v>
      </c>
      <c r="C14" s="34">
        <f>(LN(C2/C3)+(C4+C13^2/2)*C6)/(C13*SQRT(C6))</f>
        <v>-0.58089170843160365</v>
      </c>
      <c r="H14" s="150">
        <v>44260</v>
      </c>
      <c r="I14" s="17">
        <v>172.61</v>
      </c>
      <c r="J14" s="1">
        <f t="shared" si="0"/>
        <v>1.629566182738057E-2</v>
      </c>
    </row>
    <row r="15" spans="2:12" x14ac:dyDescent="0.3">
      <c r="B15" s="30" t="s">
        <v>28</v>
      </c>
      <c r="C15" s="34">
        <f>C14-C13*SQRT(C6)</f>
        <v>-0.69471605906437595</v>
      </c>
      <c r="H15" s="150">
        <v>44263</v>
      </c>
      <c r="I15" s="17">
        <v>176.87</v>
      </c>
      <c r="J15" s="1">
        <f t="shared" si="0"/>
        <v>2.4380285048104439E-2</v>
      </c>
    </row>
    <row r="16" spans="2:12" x14ac:dyDescent="0.3">
      <c r="B16" s="30" t="s">
        <v>29</v>
      </c>
      <c r="C16" s="34">
        <f>NORMSDIST(C14)</f>
        <v>0.28065672047702755</v>
      </c>
      <c r="H16" s="150">
        <v>44264</v>
      </c>
      <c r="I16" s="17">
        <v>179.18</v>
      </c>
      <c r="J16" s="1">
        <f t="shared" si="0"/>
        <v>1.2975887722730131E-2</v>
      </c>
    </row>
    <row r="17" spans="2:10" x14ac:dyDescent="0.3">
      <c r="B17" s="30" t="s">
        <v>30</v>
      </c>
      <c r="C17" s="34">
        <f>NORMSDIST(C15)</f>
        <v>0.24361663097937475</v>
      </c>
      <c r="H17" s="150">
        <v>44265</v>
      </c>
      <c r="I17" s="17">
        <v>178.58</v>
      </c>
      <c r="J17" s="1">
        <f t="shared" si="0"/>
        <v>-3.3542070803619082E-3</v>
      </c>
    </row>
    <row r="18" spans="2:10" x14ac:dyDescent="0.3">
      <c r="B18" s="30" t="s">
        <v>31</v>
      </c>
      <c r="C18" s="34">
        <f>NORMSDIST(-C14)</f>
        <v>0.71934327952297239</v>
      </c>
      <c r="H18" s="150">
        <v>44266</v>
      </c>
      <c r="I18" s="17">
        <v>179.32</v>
      </c>
      <c r="J18" s="1">
        <f t="shared" si="0"/>
        <v>4.1352391981682585E-3</v>
      </c>
    </row>
    <row r="19" spans="2:10" ht="14.4" thickBot="1" x14ac:dyDescent="0.35">
      <c r="B19" s="33" t="s">
        <v>32</v>
      </c>
      <c r="C19" s="35">
        <f>NORMSDIST(-C15)</f>
        <v>0.7563833690206252</v>
      </c>
      <c r="H19" s="150">
        <v>44267</v>
      </c>
      <c r="I19" s="17">
        <v>180.01</v>
      </c>
      <c r="J19" s="1">
        <f t="shared" si="0"/>
        <v>3.8404856153744418E-3</v>
      </c>
    </row>
    <row r="20" spans="2:10" x14ac:dyDescent="0.3">
      <c r="B20" s="32"/>
      <c r="C20" s="32"/>
      <c r="H20" s="150">
        <v>44270</v>
      </c>
      <c r="I20" s="17">
        <v>181.1</v>
      </c>
      <c r="J20" s="1">
        <f t="shared" si="0"/>
        <v>6.0369599867544374E-3</v>
      </c>
    </row>
    <row r="21" spans="2:10" x14ac:dyDescent="0.3">
      <c r="C21" s="13"/>
      <c r="H21" s="150">
        <v>44271</v>
      </c>
      <c r="I21" s="17">
        <v>180.21</v>
      </c>
      <c r="J21" s="1">
        <f t="shared" si="0"/>
        <v>-4.9265273591879155E-3</v>
      </c>
    </row>
    <row r="22" spans="2:10" x14ac:dyDescent="0.3">
      <c r="B22" s="1" t="s">
        <v>150</v>
      </c>
      <c r="C22" s="13">
        <f>C10</f>
        <v>19.211447116096167</v>
      </c>
      <c r="H22" s="150">
        <v>44272</v>
      </c>
      <c r="I22" s="17">
        <v>178.4</v>
      </c>
      <c r="J22" s="1">
        <f t="shared" si="0"/>
        <v>-1.0094617384270812E-2</v>
      </c>
    </row>
    <row r="23" spans="2:10" x14ac:dyDescent="0.3">
      <c r="C23" s="13"/>
      <c r="H23" s="150">
        <v>44273</v>
      </c>
      <c r="I23" s="17">
        <v>179.61</v>
      </c>
      <c r="J23" s="1">
        <f t="shared" si="0"/>
        <v>6.7596134594614882E-3</v>
      </c>
    </row>
    <row r="24" spans="2:10" x14ac:dyDescent="0.3">
      <c r="H24" s="150">
        <v>44274</v>
      </c>
      <c r="I24" s="17">
        <v>187.55</v>
      </c>
      <c r="J24" s="1">
        <f t="shared" si="0"/>
        <v>4.325764292252586E-2</v>
      </c>
    </row>
    <row r="25" spans="2:10" x14ac:dyDescent="0.3">
      <c r="H25" s="150">
        <v>44277</v>
      </c>
      <c r="I25" s="17">
        <v>188.04</v>
      </c>
      <c r="J25" s="1">
        <f t="shared" si="0"/>
        <v>2.609229628033415E-3</v>
      </c>
    </row>
    <row r="26" spans="2:10" x14ac:dyDescent="0.3">
      <c r="H26" s="150">
        <v>44278</v>
      </c>
      <c r="I26" s="17">
        <v>188.92</v>
      </c>
      <c r="J26" s="1">
        <f t="shared" si="0"/>
        <v>4.6689388719864788E-3</v>
      </c>
    </row>
    <row r="27" spans="2:10" x14ac:dyDescent="0.3">
      <c r="H27" s="150">
        <v>44279</v>
      </c>
      <c r="I27" s="17">
        <v>188.28</v>
      </c>
      <c r="J27" s="1">
        <f t="shared" si="0"/>
        <v>-3.3934284949747092E-3</v>
      </c>
    </row>
    <row r="28" spans="2:10" x14ac:dyDescent="0.3">
      <c r="H28" s="150">
        <v>44280</v>
      </c>
      <c r="I28" s="17">
        <v>192.7</v>
      </c>
      <c r="J28" s="1">
        <f t="shared" si="0"/>
        <v>2.3204358887379112E-2</v>
      </c>
    </row>
    <row r="29" spans="2:10" x14ac:dyDescent="0.3">
      <c r="B29" s="193" t="s">
        <v>342</v>
      </c>
      <c r="H29" s="150">
        <v>44281</v>
      </c>
      <c r="I29" s="17">
        <v>200.95</v>
      </c>
      <c r="J29" s="1">
        <f t="shared" si="0"/>
        <v>4.1921545474889424E-2</v>
      </c>
    </row>
    <row r="30" spans="2:10" x14ac:dyDescent="0.3">
      <c r="H30" s="150">
        <v>44284</v>
      </c>
      <c r="I30" s="17">
        <v>198.21</v>
      </c>
      <c r="J30" s="1">
        <f t="shared" si="0"/>
        <v>-1.3729046185306034E-2</v>
      </c>
    </row>
    <row r="31" spans="2:10" x14ac:dyDescent="0.3">
      <c r="H31" s="150">
        <v>44285</v>
      </c>
      <c r="I31" s="17">
        <v>199.65</v>
      </c>
      <c r="J31" s="1">
        <f t="shared" si="0"/>
        <v>7.2387587993263834E-3</v>
      </c>
    </row>
    <row r="32" spans="2:10" x14ac:dyDescent="0.3">
      <c r="H32" s="150">
        <v>44286</v>
      </c>
      <c r="I32" s="17">
        <v>198.07</v>
      </c>
      <c r="J32" s="1">
        <f t="shared" si="0"/>
        <v>-7.9453299400576612E-3</v>
      </c>
    </row>
    <row r="33" spans="8:10" x14ac:dyDescent="0.3">
      <c r="H33" s="150">
        <v>44287</v>
      </c>
      <c r="I33" s="17">
        <v>200.72</v>
      </c>
      <c r="J33" s="1">
        <f t="shared" si="0"/>
        <v>1.3290398488994258E-2</v>
      </c>
    </row>
    <row r="34" spans="8:10" x14ac:dyDescent="0.3">
      <c r="H34" s="150">
        <v>44291</v>
      </c>
      <c r="I34" s="17">
        <v>205.35</v>
      </c>
      <c r="J34" s="1">
        <f t="shared" si="0"/>
        <v>2.2804938344400651E-2</v>
      </c>
    </row>
    <row r="35" spans="8:10" x14ac:dyDescent="0.3">
      <c r="H35" s="150">
        <v>44292</v>
      </c>
      <c r="I35" s="17">
        <v>205.43</v>
      </c>
      <c r="J35" s="1">
        <f t="shared" si="0"/>
        <v>3.8950290185233176E-4</v>
      </c>
    </row>
    <row r="36" spans="8:10" x14ac:dyDescent="0.3">
      <c r="H36" s="150">
        <v>44293</v>
      </c>
      <c r="I36" s="17">
        <v>204.45</v>
      </c>
      <c r="J36" s="1">
        <f t="shared" si="0"/>
        <v>-4.7818964937684869E-3</v>
      </c>
    </row>
    <row r="37" spans="8:10" x14ac:dyDescent="0.3">
      <c r="H37" s="150">
        <v>44294</v>
      </c>
      <c r="I37" s="17">
        <v>203.46</v>
      </c>
      <c r="J37" s="1">
        <f t="shared" si="0"/>
        <v>-4.85402144504895E-3</v>
      </c>
    </row>
    <row r="38" spans="8:10" x14ac:dyDescent="0.3">
      <c r="H38" s="150">
        <v>44295</v>
      </c>
      <c r="I38" s="17">
        <v>205.36</v>
      </c>
      <c r="J38" s="1">
        <f t="shared" si="0"/>
        <v>9.2951111972826884E-3</v>
      </c>
    </row>
    <row r="39" spans="8:10" x14ac:dyDescent="0.3">
      <c r="H39" s="150">
        <v>44298</v>
      </c>
      <c r="I39" s="17">
        <v>205.1</v>
      </c>
      <c r="J39" s="1">
        <f t="shared" si="0"/>
        <v>-1.2668714845501827E-3</v>
      </c>
    </row>
    <row r="40" spans="8:10" x14ac:dyDescent="0.3">
      <c r="H40" s="150">
        <v>44299</v>
      </c>
      <c r="I40" s="17">
        <v>204.94</v>
      </c>
      <c r="J40" s="1">
        <f t="shared" si="0"/>
        <v>-7.8041170676303607E-4</v>
      </c>
    </row>
    <row r="41" spans="8:10" x14ac:dyDescent="0.3">
      <c r="H41" s="150">
        <v>44300</v>
      </c>
      <c r="I41" s="17">
        <v>205.71</v>
      </c>
      <c r="J41" s="1">
        <f t="shared" si="0"/>
        <v>3.7501565928109337E-3</v>
      </c>
    </row>
    <row r="42" spans="8:10" x14ac:dyDescent="0.3">
      <c r="H42" s="150">
        <v>44301</v>
      </c>
      <c r="I42" s="17">
        <v>205.76</v>
      </c>
      <c r="J42" s="1">
        <f t="shared" si="0"/>
        <v>2.4303108487179229E-4</v>
      </c>
    </row>
    <row r="43" spans="8:10" x14ac:dyDescent="0.3">
      <c r="H43" s="150">
        <v>44302</v>
      </c>
      <c r="I43" s="17">
        <v>208.55</v>
      </c>
      <c r="J43" s="1">
        <f t="shared" si="0"/>
        <v>1.3468379593699681E-2</v>
      </c>
    </row>
    <row r="44" spans="8:10" x14ac:dyDescent="0.3">
      <c r="H44" s="150">
        <v>44305</v>
      </c>
      <c r="I44" s="17">
        <v>208.65</v>
      </c>
      <c r="J44" s="1">
        <f t="shared" si="0"/>
        <v>4.7938639460723474E-4</v>
      </c>
    </row>
    <row r="45" spans="8:10" x14ac:dyDescent="0.3">
      <c r="H45" s="150">
        <v>44306</v>
      </c>
      <c r="I45" s="17">
        <v>207.27</v>
      </c>
      <c r="J45" s="1">
        <f t="shared" si="0"/>
        <v>-6.6359158687483979E-3</v>
      </c>
    </row>
    <row r="46" spans="8:10" x14ac:dyDescent="0.3">
      <c r="H46" s="150">
        <v>44307</v>
      </c>
      <c r="I46" s="17">
        <v>206.77</v>
      </c>
      <c r="J46" s="1">
        <f t="shared" si="0"/>
        <v>-2.415226756134601E-3</v>
      </c>
    </row>
    <row r="47" spans="8:10" x14ac:dyDescent="0.3">
      <c r="H47" s="150">
        <v>44308</v>
      </c>
      <c r="I47" s="17">
        <v>205.57</v>
      </c>
      <c r="J47" s="1">
        <f t="shared" si="0"/>
        <v>-5.8204558750971254E-3</v>
      </c>
    </row>
    <row r="48" spans="8:10" x14ac:dyDescent="0.3">
      <c r="H48" s="150">
        <v>44309</v>
      </c>
      <c r="I48" s="17">
        <v>206.01</v>
      </c>
      <c r="J48" s="1">
        <f t="shared" si="0"/>
        <v>2.138102763113024E-3</v>
      </c>
    </row>
    <row r="49" spans="8:10" x14ac:dyDescent="0.3">
      <c r="H49" s="150">
        <v>44312</v>
      </c>
      <c r="I49" s="17">
        <v>203.63</v>
      </c>
      <c r="J49" s="1">
        <f t="shared" si="0"/>
        <v>-1.1620089738271114E-2</v>
      </c>
    </row>
    <row r="50" spans="8:10" x14ac:dyDescent="0.3">
      <c r="H50" s="150">
        <v>44313</v>
      </c>
      <c r="I50" s="17">
        <v>204.36</v>
      </c>
      <c r="J50" s="1">
        <f t="shared" si="0"/>
        <v>3.5785229001736932E-3</v>
      </c>
    </row>
    <row r="51" spans="8:10" x14ac:dyDescent="0.3">
      <c r="H51" s="150">
        <v>44314</v>
      </c>
      <c r="I51" s="17">
        <v>204.46</v>
      </c>
      <c r="J51" s="1">
        <f t="shared" si="0"/>
        <v>4.8921286627070582E-4</v>
      </c>
    </row>
    <row r="52" spans="8:10" x14ac:dyDescent="0.3">
      <c r="H52" s="150">
        <v>44315</v>
      </c>
      <c r="I52" s="17">
        <v>207.38</v>
      </c>
      <c r="J52" s="1">
        <f t="shared" si="0"/>
        <v>1.4180501801264112E-2</v>
      </c>
    </row>
    <row r="53" spans="8:10" x14ac:dyDescent="0.3">
      <c r="H53" s="150">
        <v>44316</v>
      </c>
      <c r="I53" s="17">
        <v>207.26</v>
      </c>
      <c r="J53" s="1">
        <f t="shared" si="0"/>
        <v>-5.788153740607818E-4</v>
      </c>
    </row>
    <row r="54" spans="8:10" x14ac:dyDescent="0.3">
      <c r="H54" s="150">
        <v>44319</v>
      </c>
      <c r="I54" s="17">
        <v>211.28</v>
      </c>
      <c r="J54" s="1">
        <f t="shared" si="0"/>
        <v>1.9210224232805551E-2</v>
      </c>
    </row>
    <row r="55" spans="8:10" x14ac:dyDescent="0.3">
      <c r="H55" s="150">
        <v>44320</v>
      </c>
      <c r="I55" s="17">
        <v>211.61</v>
      </c>
      <c r="J55" s="1">
        <f t="shared" si="0"/>
        <v>1.5606898578032899E-3</v>
      </c>
    </row>
    <row r="56" spans="8:10" x14ac:dyDescent="0.3">
      <c r="H56" s="150">
        <v>44321</v>
      </c>
      <c r="I56" s="17">
        <v>212.41</v>
      </c>
      <c r="J56" s="1">
        <f t="shared" si="0"/>
        <v>3.7734113921135087E-3</v>
      </c>
    </row>
    <row r="57" spans="8:10" x14ac:dyDescent="0.3">
      <c r="H57" s="150">
        <v>44322</v>
      </c>
      <c r="I57" s="17">
        <v>213</v>
      </c>
      <c r="J57" s="1">
        <f t="shared" si="0"/>
        <v>2.7737964706316012E-3</v>
      </c>
    </row>
    <row r="58" spans="8:10" x14ac:dyDescent="0.3">
      <c r="H58" s="150">
        <v>44323</v>
      </c>
      <c r="I58" s="17">
        <v>214.71</v>
      </c>
      <c r="J58" s="1">
        <f t="shared" si="0"/>
        <v>7.9961147091908522E-3</v>
      </c>
    </row>
    <row r="59" spans="8:10" x14ac:dyDescent="0.3">
      <c r="H59" s="150">
        <v>44326</v>
      </c>
      <c r="I59" s="17">
        <v>214.03</v>
      </c>
      <c r="J59" s="1">
        <f t="shared" si="0"/>
        <v>-3.1720883061439904E-3</v>
      </c>
    </row>
    <row r="60" spans="8:10" x14ac:dyDescent="0.3">
      <c r="H60" s="150">
        <v>44327</v>
      </c>
      <c r="I60" s="17">
        <v>209.24</v>
      </c>
      <c r="J60" s="1">
        <f t="shared" si="0"/>
        <v>-2.263427361006148E-2</v>
      </c>
    </row>
    <row r="61" spans="8:10" x14ac:dyDescent="0.3">
      <c r="H61" s="150">
        <v>44328</v>
      </c>
      <c r="I61" s="17">
        <v>202.96</v>
      </c>
      <c r="J61" s="1">
        <f t="shared" si="0"/>
        <v>-3.0473003211383878E-2</v>
      </c>
    </row>
    <row r="62" spans="8:10" x14ac:dyDescent="0.3">
      <c r="H62" s="150">
        <v>44329</v>
      </c>
      <c r="I62" s="17">
        <v>208.61</v>
      </c>
      <c r="J62" s="1">
        <f t="shared" si="0"/>
        <v>2.7457564765168571E-2</v>
      </c>
    </row>
    <row r="63" spans="8:10" x14ac:dyDescent="0.3">
      <c r="H63" s="150">
        <v>44330</v>
      </c>
      <c r="I63" s="17">
        <v>211.16</v>
      </c>
      <c r="J63" s="1">
        <f t="shared" si="0"/>
        <v>1.2149659899220427E-2</v>
      </c>
    </row>
    <row r="64" spans="8:10" x14ac:dyDescent="0.3">
      <c r="H64" s="150">
        <v>44333</v>
      </c>
      <c r="I64" s="17">
        <v>210.02</v>
      </c>
      <c r="J64" s="1">
        <f t="shared" si="0"/>
        <v>-5.4133756775680839E-3</v>
      </c>
    </row>
    <row r="65" spans="8:10" x14ac:dyDescent="0.3">
      <c r="H65" s="150">
        <v>44334</v>
      </c>
      <c r="I65" s="17">
        <v>206.43</v>
      </c>
      <c r="J65" s="1">
        <f t="shared" si="0"/>
        <v>-1.7241392395349102E-2</v>
      </c>
    </row>
    <row r="66" spans="8:10" x14ac:dyDescent="0.3">
      <c r="H66" s="150">
        <v>44335</v>
      </c>
      <c r="I66" s="17">
        <v>219.01</v>
      </c>
      <c r="J66" s="1">
        <f t="shared" si="0"/>
        <v>5.9156018991977123E-2</v>
      </c>
    </row>
    <row r="67" spans="8:10" x14ac:dyDescent="0.3">
      <c r="H67" s="150">
        <v>44336</v>
      </c>
      <c r="I67" s="17">
        <v>221.79</v>
      </c>
      <c r="J67" s="1">
        <f t="shared" si="0"/>
        <v>1.2613597362642894E-2</v>
      </c>
    </row>
    <row r="68" spans="8:10" x14ac:dyDescent="0.3">
      <c r="H68" s="150">
        <v>44337</v>
      </c>
      <c r="I68" s="17">
        <v>225.09</v>
      </c>
      <c r="J68" s="1">
        <f t="shared" si="0"/>
        <v>1.476933398862872E-2</v>
      </c>
    </row>
    <row r="69" spans="8:10" x14ac:dyDescent="0.3">
      <c r="H69" s="150">
        <v>44340</v>
      </c>
      <c r="I69" s="17">
        <v>225.41</v>
      </c>
      <c r="J69" s="1">
        <f t="shared" ref="J69:J132" si="1">LN(I69/I68)</f>
        <v>1.4206439681217627E-3</v>
      </c>
    </row>
    <row r="70" spans="8:10" x14ac:dyDescent="0.3">
      <c r="H70" s="150">
        <v>44341</v>
      </c>
      <c r="I70" s="17">
        <v>225.3</v>
      </c>
      <c r="J70" s="1">
        <f t="shared" si="1"/>
        <v>-4.8811875567004716E-4</v>
      </c>
    </row>
    <row r="71" spans="8:10" x14ac:dyDescent="0.3">
      <c r="H71" s="150">
        <v>44342</v>
      </c>
      <c r="I71" s="17">
        <v>227.11</v>
      </c>
      <c r="J71" s="1">
        <f t="shared" si="1"/>
        <v>8.0016341693030877E-3</v>
      </c>
    </row>
    <row r="72" spans="8:10" x14ac:dyDescent="0.3">
      <c r="H72" s="150">
        <v>44343</v>
      </c>
      <c r="I72" s="17">
        <v>227.37</v>
      </c>
      <c r="J72" s="1">
        <f t="shared" si="1"/>
        <v>1.1441648845455675E-3</v>
      </c>
    </row>
    <row r="73" spans="8:10" x14ac:dyDescent="0.3">
      <c r="H73" s="150">
        <v>44344</v>
      </c>
      <c r="I73" s="17">
        <v>226.92</v>
      </c>
      <c r="J73" s="1">
        <f t="shared" si="1"/>
        <v>-1.9811140336810952E-3</v>
      </c>
    </row>
    <row r="74" spans="8:10" x14ac:dyDescent="0.3">
      <c r="H74" s="150">
        <v>44348</v>
      </c>
      <c r="I74" s="17">
        <v>227.27</v>
      </c>
      <c r="J74" s="1">
        <f t="shared" si="1"/>
        <v>1.5412055275546388E-3</v>
      </c>
    </row>
    <row r="75" spans="8:10" x14ac:dyDescent="0.3">
      <c r="H75" s="150">
        <v>44349</v>
      </c>
      <c r="I75" s="17">
        <v>228.38</v>
      </c>
      <c r="J75" s="1">
        <f t="shared" si="1"/>
        <v>4.8721702875810131E-3</v>
      </c>
    </row>
    <row r="76" spans="8:10" x14ac:dyDescent="0.3">
      <c r="H76" s="150">
        <v>44350</v>
      </c>
      <c r="I76" s="17">
        <v>229.18</v>
      </c>
      <c r="J76" s="1">
        <f t="shared" si="1"/>
        <v>3.4968127248002009E-3</v>
      </c>
    </row>
    <row r="77" spans="8:10" x14ac:dyDescent="0.3">
      <c r="H77" s="150">
        <v>44351</v>
      </c>
      <c r="I77" s="17">
        <v>231.34</v>
      </c>
      <c r="J77" s="1">
        <f t="shared" si="1"/>
        <v>9.3807688689533722E-3</v>
      </c>
    </row>
    <row r="78" spans="8:10" x14ac:dyDescent="0.3">
      <c r="H78" s="150">
        <v>44354</v>
      </c>
      <c r="I78" s="17">
        <v>230.89</v>
      </c>
      <c r="J78" s="1">
        <f t="shared" si="1"/>
        <v>-1.9470832363433456E-3</v>
      </c>
    </row>
    <row r="79" spans="8:10" x14ac:dyDescent="0.3">
      <c r="H79" s="150">
        <v>44355</v>
      </c>
      <c r="I79" s="17">
        <v>235.1</v>
      </c>
      <c r="J79" s="1">
        <f t="shared" si="1"/>
        <v>1.8069548915111665E-2</v>
      </c>
    </row>
    <row r="80" spans="8:10" x14ac:dyDescent="0.3">
      <c r="H80" s="150">
        <v>44356</v>
      </c>
      <c r="I80" s="17">
        <v>231.94</v>
      </c>
      <c r="J80" s="1">
        <f t="shared" si="1"/>
        <v>-1.3532238017466678E-2</v>
      </c>
    </row>
    <row r="81" spans="8:10" x14ac:dyDescent="0.3">
      <c r="H81" s="150">
        <v>44357</v>
      </c>
      <c r="I81" s="17">
        <v>231.66</v>
      </c>
      <c r="J81" s="1">
        <f t="shared" si="1"/>
        <v>-1.2079380243571879E-3</v>
      </c>
    </row>
    <row r="82" spans="8:10" x14ac:dyDescent="0.3">
      <c r="H82" s="150">
        <v>44358</v>
      </c>
      <c r="I82" s="17">
        <v>232.94</v>
      </c>
      <c r="J82" s="1">
        <f t="shared" si="1"/>
        <v>5.5101301703058565E-3</v>
      </c>
    </row>
    <row r="83" spans="8:10" x14ac:dyDescent="0.3">
      <c r="H83" s="150">
        <v>44361</v>
      </c>
      <c r="I83" s="17">
        <v>233.07</v>
      </c>
      <c r="J83" s="1">
        <f t="shared" si="1"/>
        <v>5.5792795593328744E-4</v>
      </c>
    </row>
    <row r="84" spans="8:10" x14ac:dyDescent="0.3">
      <c r="H84" s="150">
        <v>44362</v>
      </c>
      <c r="I84" s="17">
        <v>232.57</v>
      </c>
      <c r="J84" s="1">
        <f t="shared" si="1"/>
        <v>-2.1475826482745446E-3</v>
      </c>
    </row>
    <row r="85" spans="8:10" x14ac:dyDescent="0.3">
      <c r="H85" s="150">
        <v>44363</v>
      </c>
      <c r="I85" s="17">
        <v>231.26</v>
      </c>
      <c r="J85" s="1">
        <f t="shared" si="1"/>
        <v>-5.6486362813487822E-3</v>
      </c>
    </row>
    <row r="86" spans="8:10" x14ac:dyDescent="0.3">
      <c r="H86" s="150">
        <v>44364</v>
      </c>
      <c r="I86" s="17">
        <v>231.22</v>
      </c>
      <c r="J86" s="1">
        <f t="shared" si="1"/>
        <v>-1.7298045364012846E-4</v>
      </c>
    </row>
    <row r="87" spans="8:10" x14ac:dyDescent="0.3">
      <c r="H87" s="150">
        <v>44365</v>
      </c>
      <c r="I87" s="17">
        <v>230.53</v>
      </c>
      <c r="J87" s="1">
        <f t="shared" si="1"/>
        <v>-2.9886324356710489E-3</v>
      </c>
    </row>
    <row r="88" spans="8:10" x14ac:dyDescent="0.3">
      <c r="H88" s="150">
        <v>44368</v>
      </c>
      <c r="I88" s="17">
        <v>233.77</v>
      </c>
      <c r="J88" s="1">
        <f t="shared" si="1"/>
        <v>1.3956720194441791E-2</v>
      </c>
    </row>
    <row r="89" spans="8:10" x14ac:dyDescent="0.3">
      <c r="H89" s="150">
        <v>44369</v>
      </c>
      <c r="I89" s="17">
        <v>237.21</v>
      </c>
      <c r="J89" s="1">
        <f t="shared" si="1"/>
        <v>1.4608098744998861E-2</v>
      </c>
    </row>
    <row r="90" spans="8:10" x14ac:dyDescent="0.3">
      <c r="H90" s="150">
        <v>44370</v>
      </c>
      <c r="I90" s="17">
        <v>237.31</v>
      </c>
      <c r="J90" s="1">
        <f t="shared" si="1"/>
        <v>4.2147855298145591E-4</v>
      </c>
    </row>
    <row r="91" spans="8:10" x14ac:dyDescent="0.3">
      <c r="H91" s="150">
        <v>44371</v>
      </c>
      <c r="I91" s="17">
        <v>239.84</v>
      </c>
      <c r="J91" s="1">
        <f t="shared" si="1"/>
        <v>1.0604731050360774E-2</v>
      </c>
    </row>
    <row r="92" spans="8:10" x14ac:dyDescent="0.3">
      <c r="H92" s="150">
        <v>44372</v>
      </c>
      <c r="I92" s="17">
        <v>240.55</v>
      </c>
      <c r="J92" s="1">
        <f t="shared" si="1"/>
        <v>2.9559337911752369E-3</v>
      </c>
    </row>
    <row r="93" spans="8:10" x14ac:dyDescent="0.3">
      <c r="H93" s="150">
        <v>44375</v>
      </c>
      <c r="I93" s="17">
        <v>241.26</v>
      </c>
      <c r="J93" s="1">
        <f t="shared" si="1"/>
        <v>2.9472219917748045E-3</v>
      </c>
    </row>
    <row r="94" spans="8:10" x14ac:dyDescent="0.3">
      <c r="H94" s="150">
        <v>44376</v>
      </c>
      <c r="I94" s="17">
        <v>241.85</v>
      </c>
      <c r="J94" s="1">
        <f t="shared" si="1"/>
        <v>2.4425091317545728E-3</v>
      </c>
    </row>
    <row r="95" spans="8:10" x14ac:dyDescent="0.3">
      <c r="H95" s="150">
        <v>44377</v>
      </c>
      <c r="I95" s="17">
        <v>241.74</v>
      </c>
      <c r="J95" s="1">
        <f t="shared" si="1"/>
        <v>-4.5493083768123474E-4</v>
      </c>
    </row>
    <row r="96" spans="8:10" x14ac:dyDescent="0.3">
      <c r="H96" s="150">
        <v>44378</v>
      </c>
      <c r="I96" s="17">
        <v>243.47</v>
      </c>
      <c r="J96" s="1">
        <f t="shared" si="1"/>
        <v>7.1309632157644694E-3</v>
      </c>
    </row>
    <row r="97" spans="8:10" x14ac:dyDescent="0.3">
      <c r="H97" s="150">
        <v>44379</v>
      </c>
      <c r="I97" s="17">
        <v>246.58</v>
      </c>
      <c r="J97" s="1">
        <f t="shared" si="1"/>
        <v>1.269275279333135E-2</v>
      </c>
    </row>
    <row r="98" spans="8:10" x14ac:dyDescent="0.3">
      <c r="H98" s="150">
        <v>44383</v>
      </c>
      <c r="I98" s="17">
        <v>245.45</v>
      </c>
      <c r="J98" s="1">
        <f t="shared" si="1"/>
        <v>-4.5932239363452579E-3</v>
      </c>
    </row>
    <row r="99" spans="8:10" x14ac:dyDescent="0.3">
      <c r="H99" s="150">
        <v>44384</v>
      </c>
      <c r="I99" s="17">
        <v>247.55</v>
      </c>
      <c r="J99" s="1">
        <f t="shared" si="1"/>
        <v>8.5193213033706271E-3</v>
      </c>
    </row>
    <row r="100" spans="8:10" x14ac:dyDescent="0.3">
      <c r="H100" s="150">
        <v>44385</v>
      </c>
      <c r="I100" s="17">
        <v>248.58</v>
      </c>
      <c r="J100" s="1">
        <f t="shared" si="1"/>
        <v>4.1521435099334623E-3</v>
      </c>
    </row>
    <row r="101" spans="8:10" x14ac:dyDescent="0.3">
      <c r="H101" s="150">
        <v>44386</v>
      </c>
      <c r="I101" s="17">
        <v>248.58</v>
      </c>
      <c r="J101" s="1">
        <f t="shared" si="1"/>
        <v>0</v>
      </c>
    </row>
    <row r="102" spans="8:10" x14ac:dyDescent="0.3">
      <c r="H102" s="150">
        <v>44389</v>
      </c>
      <c r="I102" s="17">
        <v>252.24</v>
      </c>
      <c r="J102" s="1">
        <f t="shared" si="1"/>
        <v>1.4616289919439958E-2</v>
      </c>
    </row>
    <row r="103" spans="8:10" x14ac:dyDescent="0.3">
      <c r="H103" s="150">
        <v>44390</v>
      </c>
      <c r="I103" s="17">
        <v>251.75</v>
      </c>
      <c r="J103" s="1">
        <f t="shared" si="1"/>
        <v>-1.9444836381337588E-3</v>
      </c>
    </row>
    <row r="104" spans="8:10" x14ac:dyDescent="0.3">
      <c r="H104" s="150">
        <v>44391</v>
      </c>
      <c r="I104" s="17">
        <v>253.63</v>
      </c>
      <c r="J104" s="1">
        <f t="shared" si="1"/>
        <v>7.4399804978849274E-3</v>
      </c>
    </row>
    <row r="105" spans="8:10" x14ac:dyDescent="0.3">
      <c r="H105" s="150">
        <v>44392</v>
      </c>
      <c r="I105" s="17">
        <v>252.93</v>
      </c>
      <c r="J105" s="1">
        <f t="shared" si="1"/>
        <v>-2.7637414938625213E-3</v>
      </c>
    </row>
    <row r="106" spans="8:10" x14ac:dyDescent="0.3">
      <c r="H106" s="150">
        <v>44393</v>
      </c>
      <c r="I106" s="17">
        <v>251.15</v>
      </c>
      <c r="J106" s="1">
        <f t="shared" si="1"/>
        <v>-7.06240040664027E-3</v>
      </c>
    </row>
    <row r="107" spans="8:10" x14ac:dyDescent="0.3">
      <c r="H107" s="150">
        <v>44396</v>
      </c>
      <c r="I107" s="17">
        <v>251.12</v>
      </c>
      <c r="J107" s="1">
        <f t="shared" si="1"/>
        <v>-1.1945766235556068E-4</v>
      </c>
    </row>
    <row r="108" spans="8:10" x14ac:dyDescent="0.3">
      <c r="H108" s="150">
        <v>44397</v>
      </c>
      <c r="I108" s="17">
        <v>254.71</v>
      </c>
      <c r="J108" s="1">
        <f t="shared" si="1"/>
        <v>1.419473055770358E-2</v>
      </c>
    </row>
    <row r="109" spans="8:10" x14ac:dyDescent="0.3">
      <c r="H109" s="150">
        <v>44398</v>
      </c>
      <c r="I109" s="17">
        <v>256.05</v>
      </c>
      <c r="J109" s="1">
        <f t="shared" si="1"/>
        <v>5.2470948171577016E-3</v>
      </c>
    </row>
    <row r="110" spans="8:10" x14ac:dyDescent="0.3">
      <c r="H110" s="150">
        <v>44399</v>
      </c>
      <c r="I110" s="17">
        <v>257.01</v>
      </c>
      <c r="J110" s="1">
        <f t="shared" si="1"/>
        <v>3.7422567355028971E-3</v>
      </c>
    </row>
    <row r="111" spans="8:10" x14ac:dyDescent="0.3">
      <c r="H111" s="150">
        <v>44400</v>
      </c>
      <c r="I111" s="17">
        <v>261.02999999999997</v>
      </c>
      <c r="J111" s="1">
        <f t="shared" si="1"/>
        <v>1.5520348601980411E-2</v>
      </c>
    </row>
    <row r="112" spans="8:10" x14ac:dyDescent="0.3">
      <c r="H112" s="150">
        <v>44403</v>
      </c>
      <c r="I112" s="17">
        <v>260.86</v>
      </c>
      <c r="J112" s="1">
        <f t="shared" si="1"/>
        <v>-6.5147830390550052E-4</v>
      </c>
    </row>
    <row r="113" spans="8:10" x14ac:dyDescent="0.3">
      <c r="H113" s="150">
        <v>44404</v>
      </c>
      <c r="I113" s="17">
        <v>258.36</v>
      </c>
      <c r="J113" s="1">
        <f t="shared" si="1"/>
        <v>-9.6299037778650714E-3</v>
      </c>
    </row>
    <row r="114" spans="8:10" x14ac:dyDescent="0.3">
      <c r="H114" s="150">
        <v>44405</v>
      </c>
      <c r="I114" s="17">
        <v>257.42</v>
      </c>
      <c r="J114" s="1">
        <f t="shared" si="1"/>
        <v>-3.6449689430402745E-3</v>
      </c>
    </row>
    <row r="115" spans="8:10" x14ac:dyDescent="0.3">
      <c r="H115" s="150">
        <v>44406</v>
      </c>
      <c r="I115" s="17">
        <v>261.66000000000003</v>
      </c>
      <c r="J115" s="1">
        <f t="shared" si="1"/>
        <v>1.6336958861498451E-2</v>
      </c>
    </row>
    <row r="116" spans="8:10" x14ac:dyDescent="0.3">
      <c r="H116" s="150">
        <v>44407</v>
      </c>
      <c r="I116" s="17">
        <v>261.05</v>
      </c>
      <c r="J116" s="1">
        <f t="shared" si="1"/>
        <v>-2.3339912261687579E-3</v>
      </c>
    </row>
    <row r="117" spans="8:10" x14ac:dyDescent="0.3">
      <c r="H117" s="150">
        <v>44410</v>
      </c>
      <c r="I117" s="17">
        <v>257.24</v>
      </c>
      <c r="J117" s="1">
        <f t="shared" si="1"/>
        <v>-1.4702458589898942E-2</v>
      </c>
    </row>
    <row r="118" spans="8:10" x14ac:dyDescent="0.3">
      <c r="H118" s="150">
        <v>44411</v>
      </c>
      <c r="I118" s="17">
        <v>262.2</v>
      </c>
      <c r="J118" s="1">
        <f t="shared" si="1"/>
        <v>1.9098070062936914E-2</v>
      </c>
    </row>
    <row r="119" spans="8:10" x14ac:dyDescent="0.3">
      <c r="H119" s="150">
        <v>44412</v>
      </c>
      <c r="I119" s="17">
        <v>260.52999999999997</v>
      </c>
      <c r="J119" s="1">
        <f t="shared" si="1"/>
        <v>-6.3895536191514116E-3</v>
      </c>
    </row>
    <row r="120" spans="8:10" x14ac:dyDescent="0.3">
      <c r="H120" s="150">
        <v>44413</v>
      </c>
      <c r="I120" s="17">
        <v>261.39999999999998</v>
      </c>
      <c r="J120" s="1">
        <f t="shared" si="1"/>
        <v>3.3337834796734029E-3</v>
      </c>
    </row>
    <row r="121" spans="8:10" x14ac:dyDescent="0.3">
      <c r="H121" s="150">
        <v>44414</v>
      </c>
      <c r="I121" s="17">
        <v>260.08999999999997</v>
      </c>
      <c r="J121" s="1">
        <f t="shared" si="1"/>
        <v>-5.0240762258604976E-3</v>
      </c>
    </row>
    <row r="122" spans="8:10" x14ac:dyDescent="0.3">
      <c r="H122" s="150">
        <v>44417</v>
      </c>
      <c r="I122" s="17">
        <v>262.41000000000003</v>
      </c>
      <c r="J122" s="1">
        <f t="shared" si="1"/>
        <v>8.8804411356124182E-3</v>
      </c>
    </row>
    <row r="123" spans="8:10" x14ac:dyDescent="0.3">
      <c r="H123" s="150">
        <v>44418</v>
      </c>
      <c r="I123" s="17">
        <v>264.07</v>
      </c>
      <c r="J123" s="1">
        <f t="shared" si="1"/>
        <v>6.3060534151439538E-3</v>
      </c>
    </row>
    <row r="124" spans="8:10" x14ac:dyDescent="0.3">
      <c r="H124" s="150">
        <v>44419</v>
      </c>
      <c r="I124" s="17">
        <v>263.01</v>
      </c>
      <c r="J124" s="1">
        <f t="shared" si="1"/>
        <v>-4.0221652464134099E-3</v>
      </c>
    </row>
    <row r="125" spans="8:10" x14ac:dyDescent="0.3">
      <c r="H125" s="150">
        <v>44420</v>
      </c>
      <c r="I125" s="17">
        <v>261.88</v>
      </c>
      <c r="J125" s="1">
        <f t="shared" si="1"/>
        <v>-4.3056706957132632E-3</v>
      </c>
    </row>
    <row r="126" spans="8:10" x14ac:dyDescent="0.3">
      <c r="H126" s="150">
        <v>44421</v>
      </c>
      <c r="I126" s="17">
        <v>261.54000000000002</v>
      </c>
      <c r="J126" s="1">
        <f t="shared" si="1"/>
        <v>-1.2991480945342539E-3</v>
      </c>
    </row>
    <row r="127" spans="8:10" x14ac:dyDescent="0.3">
      <c r="H127" s="150">
        <v>44424</v>
      </c>
      <c r="I127" s="17">
        <v>263.14999999999998</v>
      </c>
      <c r="J127" s="1">
        <f t="shared" si="1"/>
        <v>6.1369763214316449E-3</v>
      </c>
    </row>
    <row r="128" spans="8:10" x14ac:dyDescent="0.3">
      <c r="H128" s="150">
        <v>44425</v>
      </c>
      <c r="I128" s="17">
        <v>254.65</v>
      </c>
      <c r="J128" s="1">
        <f t="shared" si="1"/>
        <v>-3.2834158469174222E-2</v>
      </c>
    </row>
    <row r="129" spans="8:10" x14ac:dyDescent="0.3">
      <c r="H129" s="150">
        <v>44426</v>
      </c>
      <c r="I129" s="17">
        <v>247.58</v>
      </c>
      <c r="J129" s="1">
        <f t="shared" si="1"/>
        <v>-2.815629122694939E-2</v>
      </c>
    </row>
    <row r="130" spans="8:10" x14ac:dyDescent="0.3">
      <c r="H130" s="150">
        <v>44427</v>
      </c>
      <c r="I130" s="17">
        <v>245.41</v>
      </c>
      <c r="J130" s="1">
        <f t="shared" si="1"/>
        <v>-8.8034808608525549E-3</v>
      </c>
    </row>
    <row r="131" spans="8:10" x14ac:dyDescent="0.3">
      <c r="H131" s="150">
        <v>44428</v>
      </c>
      <c r="I131" s="17">
        <v>253.4</v>
      </c>
      <c r="J131" s="1">
        <f t="shared" si="1"/>
        <v>3.2038986644227122E-2</v>
      </c>
    </row>
    <row r="132" spans="8:10" x14ac:dyDescent="0.3">
      <c r="H132" s="150">
        <v>44431</v>
      </c>
      <c r="I132" s="17">
        <v>252.53</v>
      </c>
      <c r="J132" s="1">
        <f t="shared" si="1"/>
        <v>-3.4392143480086565E-3</v>
      </c>
    </row>
    <row r="133" spans="8:10" x14ac:dyDescent="0.3">
      <c r="H133" s="150">
        <v>44432</v>
      </c>
      <c r="I133" s="17">
        <v>250.65</v>
      </c>
      <c r="J133" s="1">
        <f t="shared" ref="J133:J196" si="2">LN(I133/I132)</f>
        <v>-7.4725098295176755E-3</v>
      </c>
    </row>
    <row r="134" spans="8:10" x14ac:dyDescent="0.3">
      <c r="H134" s="150">
        <v>44433</v>
      </c>
      <c r="I134" s="17">
        <v>251.15</v>
      </c>
      <c r="J134" s="1">
        <f t="shared" si="2"/>
        <v>1.9928264865413897E-3</v>
      </c>
    </row>
    <row r="135" spans="8:10" x14ac:dyDescent="0.3">
      <c r="H135" s="150">
        <v>44434</v>
      </c>
      <c r="I135" s="17">
        <v>248.96</v>
      </c>
      <c r="J135" s="1">
        <f t="shared" si="2"/>
        <v>-8.7581292060268968E-3</v>
      </c>
    </row>
    <row r="136" spans="8:10" x14ac:dyDescent="0.3">
      <c r="H136" s="150">
        <v>44435</v>
      </c>
      <c r="I136" s="17">
        <v>249.18</v>
      </c>
      <c r="J136" s="1">
        <f t="shared" si="2"/>
        <v>8.8328588069043023E-4</v>
      </c>
    </row>
    <row r="137" spans="8:10" x14ac:dyDescent="0.3">
      <c r="H137" s="150">
        <v>44438</v>
      </c>
      <c r="I137" s="17">
        <v>249.36</v>
      </c>
      <c r="J137" s="1">
        <f t="shared" si="2"/>
        <v>7.2210858836440424E-4</v>
      </c>
    </row>
    <row r="138" spans="8:10" x14ac:dyDescent="0.3">
      <c r="H138" s="150">
        <v>44439</v>
      </c>
      <c r="I138" s="17">
        <v>246.98</v>
      </c>
      <c r="J138" s="1">
        <f t="shared" si="2"/>
        <v>-9.5902737694054264E-3</v>
      </c>
    </row>
    <row r="139" spans="8:10" x14ac:dyDescent="0.3">
      <c r="H139" s="150">
        <v>44440</v>
      </c>
      <c r="I139" s="17">
        <v>246.37</v>
      </c>
      <c r="J139" s="1">
        <f t="shared" si="2"/>
        <v>-2.472890689593082E-3</v>
      </c>
    </row>
    <row r="140" spans="8:10" x14ac:dyDescent="0.3">
      <c r="H140" s="150">
        <v>44441</v>
      </c>
      <c r="I140" s="17">
        <v>245.81</v>
      </c>
      <c r="J140" s="1">
        <f t="shared" si="2"/>
        <v>-2.2755912131931393E-3</v>
      </c>
    </row>
    <row r="141" spans="8:10" x14ac:dyDescent="0.3">
      <c r="H141" s="150">
        <v>44442</v>
      </c>
      <c r="I141" s="17">
        <v>244.31</v>
      </c>
      <c r="J141" s="1">
        <f t="shared" si="2"/>
        <v>-6.1209690821834983E-3</v>
      </c>
    </row>
    <row r="142" spans="8:10" x14ac:dyDescent="0.3">
      <c r="H142" s="150">
        <v>44446</v>
      </c>
      <c r="I142" s="17">
        <v>242.72</v>
      </c>
      <c r="J142" s="1">
        <f t="shared" si="2"/>
        <v>-6.5293951044845125E-3</v>
      </c>
    </row>
    <row r="143" spans="8:10" x14ac:dyDescent="0.3">
      <c r="H143" s="150">
        <v>44447</v>
      </c>
      <c r="I143" s="17">
        <v>246.11</v>
      </c>
      <c r="J143" s="1">
        <f t="shared" si="2"/>
        <v>1.3870074859917142E-2</v>
      </c>
    </row>
    <row r="144" spans="8:10" x14ac:dyDescent="0.3">
      <c r="H144" s="150">
        <v>44448</v>
      </c>
      <c r="I144" s="17">
        <v>245.44</v>
      </c>
      <c r="J144" s="1">
        <f t="shared" si="2"/>
        <v>-2.7260722812479051E-3</v>
      </c>
    </row>
    <row r="145" spans="8:10" x14ac:dyDescent="0.3">
      <c r="H145" s="150">
        <v>44449</v>
      </c>
      <c r="I145" s="17">
        <v>244.54</v>
      </c>
      <c r="J145" s="1">
        <f t="shared" si="2"/>
        <v>-3.673623462847349E-3</v>
      </c>
    </row>
    <row r="146" spans="8:10" x14ac:dyDescent="0.3">
      <c r="H146" s="150">
        <v>44452</v>
      </c>
      <c r="I146" s="17">
        <v>243.1</v>
      </c>
      <c r="J146" s="1">
        <f t="shared" si="2"/>
        <v>-5.9060133939663091E-3</v>
      </c>
    </row>
    <row r="147" spans="8:10" x14ac:dyDescent="0.3">
      <c r="H147" s="150">
        <v>44453</v>
      </c>
      <c r="I147" s="17">
        <v>242.24</v>
      </c>
      <c r="J147" s="1">
        <f t="shared" si="2"/>
        <v>-3.5439110729936375E-3</v>
      </c>
    </row>
    <row r="148" spans="8:10" x14ac:dyDescent="0.3">
      <c r="H148" s="150">
        <v>44454</v>
      </c>
      <c r="I148" s="17">
        <v>244.14</v>
      </c>
      <c r="J148" s="1">
        <f t="shared" si="2"/>
        <v>7.8128609925695643E-3</v>
      </c>
    </row>
    <row r="149" spans="8:10" x14ac:dyDescent="0.3">
      <c r="H149" s="150">
        <v>44455</v>
      </c>
      <c r="I149" s="17">
        <v>246.95</v>
      </c>
      <c r="J149" s="1">
        <f t="shared" si="2"/>
        <v>1.144405574498032E-2</v>
      </c>
    </row>
    <row r="150" spans="8:10" x14ac:dyDescent="0.3">
      <c r="H150" s="150">
        <v>44456</v>
      </c>
      <c r="I150" s="17">
        <v>246.67</v>
      </c>
      <c r="J150" s="1">
        <f t="shared" si="2"/>
        <v>-1.1344760343212771E-3</v>
      </c>
    </row>
    <row r="151" spans="8:10" x14ac:dyDescent="0.3">
      <c r="H151" s="150">
        <v>44459</v>
      </c>
      <c r="I151" s="17">
        <v>242.14</v>
      </c>
      <c r="J151" s="1">
        <f t="shared" si="2"/>
        <v>-1.8535339672718268E-2</v>
      </c>
    </row>
    <row r="152" spans="8:10" x14ac:dyDescent="0.3">
      <c r="H152" s="150">
        <v>44460</v>
      </c>
      <c r="I152" s="17">
        <v>241.31</v>
      </c>
      <c r="J152" s="1">
        <f t="shared" si="2"/>
        <v>-3.4336573191642975E-3</v>
      </c>
    </row>
    <row r="153" spans="8:10" x14ac:dyDescent="0.3">
      <c r="H153" s="150">
        <v>44461</v>
      </c>
      <c r="I153" s="17">
        <v>241.77</v>
      </c>
      <c r="J153" s="1">
        <f t="shared" si="2"/>
        <v>1.9044470440998248E-3</v>
      </c>
    </row>
    <row r="154" spans="8:10" x14ac:dyDescent="0.3">
      <c r="H154" s="150">
        <v>44462</v>
      </c>
      <c r="I154" s="17">
        <v>242.67</v>
      </c>
      <c r="J154" s="1">
        <f t="shared" si="2"/>
        <v>3.7156346934412048E-3</v>
      </c>
    </row>
    <row r="155" spans="8:10" x14ac:dyDescent="0.3">
      <c r="H155" s="150">
        <v>44463</v>
      </c>
      <c r="I155" s="17">
        <v>241.44</v>
      </c>
      <c r="J155" s="1">
        <f t="shared" si="2"/>
        <v>-5.0815006784321205E-3</v>
      </c>
    </row>
    <row r="156" spans="8:10" x14ac:dyDescent="0.3">
      <c r="H156" s="150">
        <v>44466</v>
      </c>
      <c r="I156" s="17">
        <v>238.58</v>
      </c>
      <c r="J156" s="1">
        <f t="shared" si="2"/>
        <v>-1.1916311165738918E-2</v>
      </c>
    </row>
    <row r="157" spans="8:10" x14ac:dyDescent="0.3">
      <c r="H157" s="150">
        <v>44467</v>
      </c>
      <c r="I157" s="17">
        <v>233.44</v>
      </c>
      <c r="J157" s="1">
        <f t="shared" si="2"/>
        <v>-2.1779599079324335E-2</v>
      </c>
    </row>
    <row r="158" spans="8:10" x14ac:dyDescent="0.3">
      <c r="H158" s="150">
        <v>44468</v>
      </c>
      <c r="I158" s="17">
        <v>235.85</v>
      </c>
      <c r="J158" s="1">
        <f t="shared" si="2"/>
        <v>1.0270924955795232E-2</v>
      </c>
    </row>
    <row r="159" spans="8:10" x14ac:dyDescent="0.3">
      <c r="H159" s="150">
        <v>44469</v>
      </c>
      <c r="I159" s="17">
        <v>228.77</v>
      </c>
      <c r="J159" s="1">
        <f t="shared" si="2"/>
        <v>-3.0478877702578639E-2</v>
      </c>
    </row>
    <row r="160" spans="8:10" x14ac:dyDescent="0.3">
      <c r="H160" s="150">
        <v>44470</v>
      </c>
      <c r="I160" s="17">
        <v>228.42</v>
      </c>
      <c r="J160" s="1">
        <f t="shared" si="2"/>
        <v>-1.5310924052310598E-3</v>
      </c>
    </row>
    <row r="161" spans="8:10" x14ac:dyDescent="0.3">
      <c r="H161" s="150">
        <v>44473</v>
      </c>
      <c r="I161" s="17">
        <v>225.89</v>
      </c>
      <c r="J161" s="1">
        <f t="shared" si="2"/>
        <v>-1.1137884503277235E-2</v>
      </c>
    </row>
    <row r="162" spans="8:10" x14ac:dyDescent="0.3">
      <c r="H162" s="150">
        <v>44474</v>
      </c>
      <c r="I162" s="17">
        <v>227.56</v>
      </c>
      <c r="J162" s="1">
        <f t="shared" si="2"/>
        <v>7.3657847632629123E-3</v>
      </c>
    </row>
    <row r="163" spans="8:10" x14ac:dyDescent="0.3">
      <c r="H163" s="150">
        <v>44475</v>
      </c>
      <c r="I163" s="17">
        <v>226.83</v>
      </c>
      <c r="J163" s="1">
        <f t="shared" si="2"/>
        <v>-3.2131016441584287E-3</v>
      </c>
    </row>
    <row r="164" spans="8:10" x14ac:dyDescent="0.3">
      <c r="H164" s="150">
        <v>44476</v>
      </c>
      <c r="I164" s="17">
        <v>229.82</v>
      </c>
      <c r="J164" s="1">
        <f t="shared" si="2"/>
        <v>1.30955555911994E-2</v>
      </c>
    </row>
    <row r="165" spans="8:10" x14ac:dyDescent="0.3">
      <c r="H165" s="150">
        <v>44477</v>
      </c>
      <c r="I165" s="17">
        <v>228.9</v>
      </c>
      <c r="J165" s="1">
        <f t="shared" si="2"/>
        <v>-4.0111668709665463E-3</v>
      </c>
    </row>
    <row r="166" spans="8:10" x14ac:dyDescent="0.3">
      <c r="H166" s="150">
        <v>44480</v>
      </c>
      <c r="I166" s="17">
        <v>228.72</v>
      </c>
      <c r="J166" s="1">
        <f t="shared" si="2"/>
        <v>-7.8667894446464112E-4</v>
      </c>
    </row>
    <row r="167" spans="8:10" x14ac:dyDescent="0.3">
      <c r="H167" s="150">
        <v>44481</v>
      </c>
      <c r="I167" s="17">
        <v>230.24</v>
      </c>
      <c r="J167" s="1">
        <f t="shared" si="2"/>
        <v>6.6236951250012764E-3</v>
      </c>
    </row>
    <row r="168" spans="8:10" x14ac:dyDescent="0.3">
      <c r="H168" s="150">
        <v>44482</v>
      </c>
      <c r="I168" s="17">
        <v>236.75</v>
      </c>
      <c r="J168" s="1">
        <f t="shared" si="2"/>
        <v>2.7882488927129814E-2</v>
      </c>
    </row>
    <row r="169" spans="8:10" x14ac:dyDescent="0.3">
      <c r="H169" s="150">
        <v>44483</v>
      </c>
      <c r="I169" s="17">
        <v>242.09</v>
      </c>
      <c r="J169" s="1">
        <f t="shared" si="2"/>
        <v>2.2304825778973764E-2</v>
      </c>
    </row>
    <row r="170" spans="8:10" x14ac:dyDescent="0.3">
      <c r="H170" s="150">
        <v>44484</v>
      </c>
      <c r="I170" s="17">
        <v>245.71</v>
      </c>
      <c r="J170" s="1">
        <f t="shared" si="2"/>
        <v>1.484242089444783E-2</v>
      </c>
    </row>
    <row r="171" spans="8:10" x14ac:dyDescent="0.3">
      <c r="H171" s="150">
        <v>44487</v>
      </c>
      <c r="I171" s="17">
        <v>253.65</v>
      </c>
      <c r="J171" s="1">
        <f t="shared" si="2"/>
        <v>3.1803385273089631E-2</v>
      </c>
    </row>
    <row r="172" spans="8:10" x14ac:dyDescent="0.3">
      <c r="H172" s="150">
        <v>44488</v>
      </c>
      <c r="I172" s="17">
        <v>252.19</v>
      </c>
      <c r="J172" s="1">
        <f t="shared" si="2"/>
        <v>-5.7725923385831919E-3</v>
      </c>
    </row>
    <row r="173" spans="8:10" x14ac:dyDescent="0.3">
      <c r="H173" s="150">
        <v>44489</v>
      </c>
      <c r="I173" s="17">
        <v>251.83</v>
      </c>
      <c r="J173" s="1">
        <f t="shared" si="2"/>
        <v>-1.4285149844038782E-3</v>
      </c>
    </row>
    <row r="174" spans="8:10" x14ac:dyDescent="0.3">
      <c r="H174" s="150">
        <v>44490</v>
      </c>
      <c r="I174" s="17">
        <v>254.21</v>
      </c>
      <c r="J174" s="1">
        <f t="shared" si="2"/>
        <v>9.4064403949479774E-3</v>
      </c>
    </row>
    <row r="175" spans="8:10" x14ac:dyDescent="0.3">
      <c r="H175" s="150">
        <v>44491</v>
      </c>
      <c r="I175" s="17">
        <v>255.93</v>
      </c>
      <c r="J175" s="1">
        <f t="shared" si="2"/>
        <v>6.7432725040531619E-3</v>
      </c>
    </row>
    <row r="176" spans="8:10" x14ac:dyDescent="0.3">
      <c r="H176" s="150">
        <v>44494</v>
      </c>
      <c r="I176" s="17">
        <v>260.35000000000002</v>
      </c>
      <c r="J176" s="1">
        <f t="shared" si="2"/>
        <v>1.712291002019499E-2</v>
      </c>
    </row>
    <row r="177" spans="8:10" x14ac:dyDescent="0.3">
      <c r="H177" s="150">
        <v>44495</v>
      </c>
      <c r="I177" s="17">
        <v>258.73</v>
      </c>
      <c r="J177" s="1">
        <f t="shared" si="2"/>
        <v>-6.2418327027077784E-3</v>
      </c>
    </row>
    <row r="178" spans="8:10" x14ac:dyDescent="0.3">
      <c r="H178" s="150">
        <v>44496</v>
      </c>
      <c r="I178" s="17">
        <v>256.54000000000002</v>
      </c>
      <c r="J178" s="1">
        <f t="shared" si="2"/>
        <v>-8.5004490344956149E-3</v>
      </c>
    </row>
    <row r="179" spans="8:10" x14ac:dyDescent="0.3">
      <c r="H179" s="150">
        <v>44497</v>
      </c>
      <c r="I179" s="17">
        <v>258.22000000000003</v>
      </c>
      <c r="J179" s="1">
        <f t="shared" si="2"/>
        <v>6.5273368748679532E-3</v>
      </c>
    </row>
    <row r="180" spans="8:10" x14ac:dyDescent="0.3">
      <c r="H180" s="150">
        <v>44498</v>
      </c>
      <c r="I180" s="17">
        <v>259.62</v>
      </c>
      <c r="J180" s="1">
        <f t="shared" si="2"/>
        <v>5.407088718275767E-3</v>
      </c>
    </row>
    <row r="181" spans="8:10" x14ac:dyDescent="0.3">
      <c r="H181" s="150">
        <v>44501</v>
      </c>
      <c r="I181" s="17">
        <v>257.92</v>
      </c>
      <c r="J181" s="1">
        <f t="shared" si="2"/>
        <v>-6.5695641465849386E-3</v>
      </c>
    </row>
    <row r="182" spans="8:10" x14ac:dyDescent="0.3">
      <c r="H182" s="150">
        <v>44502</v>
      </c>
      <c r="I182" s="17">
        <v>260.26</v>
      </c>
      <c r="J182" s="1">
        <f t="shared" si="2"/>
        <v>9.0316720303477566E-3</v>
      </c>
    </row>
    <row r="183" spans="8:10" x14ac:dyDescent="0.3">
      <c r="H183" s="150">
        <v>44503</v>
      </c>
      <c r="I183" s="17">
        <v>260.41000000000003</v>
      </c>
      <c r="J183" s="1">
        <f t="shared" si="2"/>
        <v>5.7618070620473502E-4</v>
      </c>
    </row>
    <row r="184" spans="8:10" x14ac:dyDescent="0.3">
      <c r="H184" s="150">
        <v>44504</v>
      </c>
      <c r="I184" s="17">
        <v>260.44</v>
      </c>
      <c r="J184" s="1">
        <f t="shared" si="2"/>
        <v>1.1519631384516577E-4</v>
      </c>
    </row>
    <row r="185" spans="8:10" x14ac:dyDescent="0.3">
      <c r="H185" s="150">
        <v>44505</v>
      </c>
      <c r="I185" s="17">
        <v>254.27</v>
      </c>
      <c r="J185" s="1">
        <f t="shared" si="2"/>
        <v>-2.3975813800212523E-2</v>
      </c>
    </row>
    <row r="186" spans="8:10" x14ac:dyDescent="0.3">
      <c r="H186" s="150">
        <v>44508</v>
      </c>
      <c r="I186" s="17">
        <v>253.33</v>
      </c>
      <c r="J186" s="1">
        <f t="shared" si="2"/>
        <v>-3.703707937484303E-3</v>
      </c>
    </row>
    <row r="187" spans="8:10" x14ac:dyDescent="0.3">
      <c r="H187" s="150">
        <v>44509</v>
      </c>
      <c r="I187" s="17">
        <v>255.16</v>
      </c>
      <c r="J187" s="1">
        <f t="shared" si="2"/>
        <v>7.1978127427901762E-3</v>
      </c>
    </row>
    <row r="188" spans="8:10" x14ac:dyDescent="0.3">
      <c r="H188" s="150">
        <v>44510</v>
      </c>
      <c r="I188" s="17">
        <v>254.05</v>
      </c>
      <c r="J188" s="1">
        <f t="shared" si="2"/>
        <v>-4.3597013340136073E-3</v>
      </c>
    </row>
    <row r="189" spans="8:10" x14ac:dyDescent="0.3">
      <c r="H189" s="150">
        <v>44511</v>
      </c>
      <c r="I189" s="17">
        <v>256.01</v>
      </c>
      <c r="J189" s="1">
        <f t="shared" si="2"/>
        <v>7.6854081769019648E-3</v>
      </c>
    </row>
    <row r="190" spans="8:10" x14ac:dyDescent="0.3">
      <c r="H190" s="150">
        <v>44512</v>
      </c>
      <c r="I190" s="17">
        <v>260.02</v>
      </c>
      <c r="J190" s="1">
        <f t="shared" si="2"/>
        <v>1.5542044917379648E-2</v>
      </c>
    </row>
    <row r="191" spans="8:10" x14ac:dyDescent="0.3">
      <c r="H191" s="150">
        <v>44515</v>
      </c>
      <c r="I191" s="17">
        <v>264.33</v>
      </c>
      <c r="J191" s="1">
        <f t="shared" si="2"/>
        <v>1.6439771412725505E-2</v>
      </c>
    </row>
    <row r="192" spans="8:10" x14ac:dyDescent="0.3">
      <c r="H192" s="150">
        <v>44516</v>
      </c>
      <c r="I192" s="17">
        <v>266.39</v>
      </c>
      <c r="J192" s="1">
        <f t="shared" si="2"/>
        <v>7.7630778773973572E-3</v>
      </c>
    </row>
    <row r="193" spans="8:10" x14ac:dyDescent="0.3">
      <c r="H193" s="150">
        <v>44517</v>
      </c>
      <c r="I193" s="17">
        <v>253.8</v>
      </c>
      <c r="J193" s="1">
        <f t="shared" si="2"/>
        <v>-4.8414845143858173E-2</v>
      </c>
    </row>
    <row r="194" spans="8:10" x14ac:dyDescent="0.3">
      <c r="H194" s="150">
        <v>44518</v>
      </c>
      <c r="I194" s="17">
        <v>252.05</v>
      </c>
      <c r="J194" s="1">
        <f t="shared" si="2"/>
        <v>-6.919074751647475E-3</v>
      </c>
    </row>
    <row r="195" spans="8:10" x14ac:dyDescent="0.3">
      <c r="H195" s="150">
        <v>44519</v>
      </c>
      <c r="I195" s="17">
        <v>250.7</v>
      </c>
      <c r="J195" s="1">
        <f t="shared" si="2"/>
        <v>-5.3704753643921835E-3</v>
      </c>
    </row>
    <row r="196" spans="8:10" x14ac:dyDescent="0.3">
      <c r="H196" s="150">
        <v>44522</v>
      </c>
      <c r="I196" s="17">
        <v>244.57</v>
      </c>
      <c r="J196" s="1">
        <f t="shared" si="2"/>
        <v>-2.475543865642834E-2</v>
      </c>
    </row>
    <row r="197" spans="8:10" x14ac:dyDescent="0.3">
      <c r="H197" s="150">
        <v>44523</v>
      </c>
      <c r="I197" s="17">
        <v>249.18</v>
      </c>
      <c r="J197" s="1">
        <f t="shared" ref="J197:J257" si="3">LN(I197/I196)</f>
        <v>1.867396036289783E-2</v>
      </c>
    </row>
    <row r="198" spans="8:10" x14ac:dyDescent="0.3">
      <c r="H198" s="150">
        <v>44524</v>
      </c>
      <c r="I198" s="17">
        <v>248.76</v>
      </c>
      <c r="J198" s="1">
        <f t="shared" si="3"/>
        <v>-1.6869506350287405E-3</v>
      </c>
    </row>
    <row r="199" spans="8:10" x14ac:dyDescent="0.3">
      <c r="H199" s="150">
        <v>44526</v>
      </c>
      <c r="I199" s="17">
        <v>246.57</v>
      </c>
      <c r="J199" s="1">
        <f t="shared" si="3"/>
        <v>-8.8426474071701677E-3</v>
      </c>
    </row>
    <row r="200" spans="8:10" x14ac:dyDescent="0.3">
      <c r="H200" s="150">
        <v>44529</v>
      </c>
      <c r="I200" s="17">
        <v>249.16</v>
      </c>
      <c r="J200" s="1">
        <f t="shared" si="3"/>
        <v>1.0449331557426443E-2</v>
      </c>
    </row>
    <row r="201" spans="8:10" x14ac:dyDescent="0.3">
      <c r="H201" s="150">
        <v>44530</v>
      </c>
      <c r="I201" s="17">
        <v>243.84</v>
      </c>
      <c r="J201" s="1">
        <f t="shared" si="3"/>
        <v>-2.1582987887663288E-2</v>
      </c>
    </row>
    <row r="202" spans="8:10" x14ac:dyDescent="0.3">
      <c r="H202" s="150">
        <v>44531</v>
      </c>
      <c r="I202" s="17">
        <v>240.39</v>
      </c>
      <c r="J202" s="1">
        <f t="shared" si="3"/>
        <v>-1.4249668040192684E-2</v>
      </c>
    </row>
    <row r="203" spans="8:10" x14ac:dyDescent="0.3">
      <c r="H203" s="150">
        <v>44532</v>
      </c>
      <c r="I203" s="17">
        <v>245.5</v>
      </c>
      <c r="J203" s="1">
        <f t="shared" si="3"/>
        <v>2.1034342776486407E-2</v>
      </c>
    </row>
    <row r="204" spans="8:10" x14ac:dyDescent="0.3">
      <c r="H204" s="150">
        <v>44533</v>
      </c>
      <c r="I204" s="17">
        <v>247.57</v>
      </c>
      <c r="J204" s="1">
        <f t="shared" si="3"/>
        <v>8.3964230686188641E-3</v>
      </c>
    </row>
    <row r="205" spans="8:10" x14ac:dyDescent="0.3">
      <c r="H205" s="150">
        <v>44536</v>
      </c>
      <c r="I205" s="17">
        <v>242.97</v>
      </c>
      <c r="J205" s="1">
        <f t="shared" si="3"/>
        <v>-1.8755391374185998E-2</v>
      </c>
    </row>
    <row r="206" spans="8:10" x14ac:dyDescent="0.3">
      <c r="H206" s="150">
        <v>44537</v>
      </c>
      <c r="I206" s="17">
        <v>245.63</v>
      </c>
      <c r="J206" s="1">
        <f t="shared" si="3"/>
        <v>1.088835972142891E-2</v>
      </c>
    </row>
    <row r="207" spans="8:10" x14ac:dyDescent="0.3">
      <c r="H207" s="150">
        <v>44538</v>
      </c>
      <c r="I207" s="17">
        <v>239.6</v>
      </c>
      <c r="J207" s="1">
        <f t="shared" si="3"/>
        <v>-2.485547240914282E-2</v>
      </c>
    </row>
    <row r="208" spans="8:10" x14ac:dyDescent="0.3">
      <c r="H208" s="150">
        <v>44539</v>
      </c>
      <c r="I208" s="17">
        <v>237.56</v>
      </c>
      <c r="J208" s="1">
        <f t="shared" si="3"/>
        <v>-8.5506430936347511E-3</v>
      </c>
    </row>
    <row r="209" spans="8:10" x14ac:dyDescent="0.3">
      <c r="H209" s="150">
        <v>44540</v>
      </c>
      <c r="I209" s="17">
        <v>238.18</v>
      </c>
      <c r="J209" s="1">
        <f t="shared" si="3"/>
        <v>2.6064671921903915E-3</v>
      </c>
    </row>
    <row r="210" spans="8:10" x14ac:dyDescent="0.3">
      <c r="H210" s="150">
        <v>44543</v>
      </c>
      <c r="I210" s="17">
        <v>234.17</v>
      </c>
      <c r="J210" s="1">
        <f t="shared" si="3"/>
        <v>-1.697934302592877E-2</v>
      </c>
    </row>
    <row r="211" spans="8:10" x14ac:dyDescent="0.3">
      <c r="H211" s="150">
        <v>44544</v>
      </c>
      <c r="I211" s="17">
        <v>235.28</v>
      </c>
      <c r="J211" s="1">
        <f t="shared" si="3"/>
        <v>4.7289469318185923E-3</v>
      </c>
    </row>
    <row r="212" spans="8:10" x14ac:dyDescent="0.3">
      <c r="H212" s="150">
        <v>44545</v>
      </c>
      <c r="I212" s="17">
        <v>236.65</v>
      </c>
      <c r="J212" s="1">
        <f t="shared" si="3"/>
        <v>5.80596210651737E-3</v>
      </c>
    </row>
    <row r="213" spans="8:10" x14ac:dyDescent="0.3">
      <c r="H213" s="150">
        <v>44546</v>
      </c>
      <c r="I213" s="17">
        <v>224.78</v>
      </c>
      <c r="J213" s="1">
        <f t="shared" si="3"/>
        <v>-5.1460110262136032E-2</v>
      </c>
    </row>
    <row r="214" spans="8:10" x14ac:dyDescent="0.3">
      <c r="H214" s="150">
        <v>44547</v>
      </c>
      <c r="I214" s="17">
        <v>223.31</v>
      </c>
      <c r="J214" s="1">
        <f t="shared" si="3"/>
        <v>-6.5612054433250872E-3</v>
      </c>
    </row>
    <row r="215" spans="8:10" x14ac:dyDescent="0.3">
      <c r="H215" s="150">
        <v>44550</v>
      </c>
      <c r="I215" s="17">
        <v>219.19</v>
      </c>
      <c r="J215" s="1">
        <f t="shared" si="3"/>
        <v>-1.8622007051535491E-2</v>
      </c>
    </row>
    <row r="216" spans="8:10" x14ac:dyDescent="0.3">
      <c r="H216" s="150">
        <v>44551</v>
      </c>
      <c r="I216" s="17">
        <v>220.07</v>
      </c>
      <c r="J216" s="1">
        <f t="shared" si="3"/>
        <v>4.0067439661831735E-3</v>
      </c>
    </row>
    <row r="217" spans="8:10" x14ac:dyDescent="0.3">
      <c r="H217" s="150">
        <v>44552</v>
      </c>
      <c r="I217" s="17">
        <v>217.74</v>
      </c>
      <c r="J217" s="1">
        <f t="shared" si="3"/>
        <v>-1.0643987108409633E-2</v>
      </c>
    </row>
    <row r="218" spans="8:10" x14ac:dyDescent="0.3">
      <c r="H218" s="150">
        <v>44553</v>
      </c>
      <c r="I218" s="17">
        <v>221.01</v>
      </c>
      <c r="J218" s="1">
        <f t="shared" si="3"/>
        <v>1.4906258909797918E-2</v>
      </c>
    </row>
    <row r="219" spans="8:10" x14ac:dyDescent="0.3">
      <c r="H219" s="150">
        <v>44557</v>
      </c>
      <c r="I219" s="17">
        <v>224.1</v>
      </c>
      <c r="J219" s="1">
        <f t="shared" si="3"/>
        <v>1.3884431444049362E-2</v>
      </c>
    </row>
    <row r="220" spans="8:10" x14ac:dyDescent="0.3">
      <c r="H220" s="150">
        <v>44558</v>
      </c>
      <c r="I220" s="17">
        <v>224.91</v>
      </c>
      <c r="J220" s="1">
        <f t="shared" si="3"/>
        <v>3.6079413761990835E-3</v>
      </c>
    </row>
    <row r="221" spans="8:10" x14ac:dyDescent="0.3">
      <c r="H221" s="150">
        <v>44559</v>
      </c>
      <c r="I221" s="17">
        <v>227.92</v>
      </c>
      <c r="J221" s="1">
        <f t="shared" si="3"/>
        <v>1.3294368006572337E-2</v>
      </c>
    </row>
    <row r="222" spans="8:10" x14ac:dyDescent="0.3">
      <c r="H222" s="150">
        <v>44560</v>
      </c>
      <c r="I222" s="17">
        <v>231.91</v>
      </c>
      <c r="J222" s="1">
        <f t="shared" si="3"/>
        <v>1.7354675177464904E-2</v>
      </c>
    </row>
    <row r="223" spans="8:10" x14ac:dyDescent="0.3">
      <c r="H223" s="150">
        <v>44561</v>
      </c>
      <c r="I223" s="17">
        <v>231.44</v>
      </c>
      <c r="J223" s="1">
        <f t="shared" si="3"/>
        <v>-2.0287046992381024E-3</v>
      </c>
    </row>
    <row r="224" spans="8:10" x14ac:dyDescent="0.3">
      <c r="H224" s="150">
        <v>44564</v>
      </c>
      <c r="I224" s="17">
        <v>231.95</v>
      </c>
      <c r="J224" s="1">
        <f t="shared" si="3"/>
        <v>2.2011705298729625E-3</v>
      </c>
    </row>
    <row r="225" spans="8:10" x14ac:dyDescent="0.3">
      <c r="H225" s="150">
        <v>44565</v>
      </c>
      <c r="I225" s="17">
        <v>234.17</v>
      </c>
      <c r="J225" s="1">
        <f t="shared" si="3"/>
        <v>9.5255161161684337E-3</v>
      </c>
    </row>
    <row r="226" spans="8:10" x14ac:dyDescent="0.3">
      <c r="H226" s="150">
        <v>44566</v>
      </c>
      <c r="I226" s="17">
        <v>228.86</v>
      </c>
      <c r="J226" s="1">
        <f t="shared" si="3"/>
        <v>-2.2936884424352263E-2</v>
      </c>
    </row>
    <row r="227" spans="8:10" x14ac:dyDescent="0.3">
      <c r="H227" s="150">
        <v>44567</v>
      </c>
      <c r="I227" s="17">
        <v>231.35</v>
      </c>
      <c r="J227" s="1">
        <f t="shared" si="3"/>
        <v>1.0821252463439904E-2</v>
      </c>
    </row>
    <row r="228" spans="8:10" x14ac:dyDescent="0.3">
      <c r="H228" s="150">
        <v>44568</v>
      </c>
      <c r="I228" s="17">
        <v>230.78</v>
      </c>
      <c r="J228" s="1">
        <f t="shared" si="3"/>
        <v>-2.4668395864869451E-3</v>
      </c>
    </row>
    <row r="229" spans="8:10" x14ac:dyDescent="0.3">
      <c r="H229" s="150">
        <v>44571</v>
      </c>
      <c r="I229" s="17">
        <v>227.42</v>
      </c>
      <c r="J229" s="1">
        <f t="shared" si="3"/>
        <v>-1.4666347569944973E-2</v>
      </c>
    </row>
    <row r="230" spans="8:10" x14ac:dyDescent="0.3">
      <c r="H230" s="150">
        <v>44572</v>
      </c>
      <c r="I230" s="17">
        <v>227.55</v>
      </c>
      <c r="J230" s="1">
        <f t="shared" si="3"/>
        <v>5.7146626607429299E-4</v>
      </c>
    </row>
    <row r="231" spans="8:10" x14ac:dyDescent="0.3">
      <c r="H231" s="150">
        <v>44573</v>
      </c>
      <c r="I231" s="17">
        <v>224.47</v>
      </c>
      <c r="J231" s="1">
        <f t="shared" si="3"/>
        <v>-1.3627926499196991E-2</v>
      </c>
    </row>
    <row r="232" spans="8:10" x14ac:dyDescent="0.3">
      <c r="H232" s="150">
        <v>44574</v>
      </c>
      <c r="I232" s="17">
        <v>225.83</v>
      </c>
      <c r="J232" s="1">
        <f t="shared" si="3"/>
        <v>6.0404358657587054E-3</v>
      </c>
    </row>
    <row r="233" spans="8:10" x14ac:dyDescent="0.3">
      <c r="H233" s="150">
        <v>44575</v>
      </c>
      <c r="I233" s="17">
        <v>221.4</v>
      </c>
      <c r="J233" s="1">
        <f t="shared" si="3"/>
        <v>-1.9811483554676254E-2</v>
      </c>
    </row>
    <row r="234" spans="8:10" x14ac:dyDescent="0.3">
      <c r="H234" s="150">
        <v>44579</v>
      </c>
      <c r="I234" s="17">
        <v>220.01</v>
      </c>
      <c r="J234" s="1">
        <f t="shared" si="3"/>
        <v>-6.2980204097469817E-3</v>
      </c>
    </row>
    <row r="235" spans="8:10" x14ac:dyDescent="0.3">
      <c r="H235" s="150">
        <v>44580</v>
      </c>
      <c r="I235" s="17">
        <v>223.84</v>
      </c>
      <c r="J235" s="1">
        <f t="shared" si="3"/>
        <v>1.7258511052381572E-2</v>
      </c>
    </row>
    <row r="236" spans="8:10" x14ac:dyDescent="0.3">
      <c r="H236" s="150">
        <v>44581</v>
      </c>
      <c r="I236" s="17">
        <v>221.72</v>
      </c>
      <c r="J236" s="1">
        <f t="shared" si="3"/>
        <v>-9.5161863655671246E-3</v>
      </c>
    </row>
    <row r="237" spans="8:10" x14ac:dyDescent="0.3">
      <c r="H237" s="150">
        <v>44582</v>
      </c>
      <c r="I237" s="17">
        <v>217.25</v>
      </c>
      <c r="J237" s="1">
        <f t="shared" si="3"/>
        <v>-2.0366560406102484E-2</v>
      </c>
    </row>
    <row r="238" spans="8:10" x14ac:dyDescent="0.3">
      <c r="H238" s="150">
        <v>44585</v>
      </c>
      <c r="I238" s="17">
        <v>220.58</v>
      </c>
      <c r="J238" s="1">
        <f t="shared" si="3"/>
        <v>1.5211676732499541E-2</v>
      </c>
    </row>
    <row r="239" spans="8:10" x14ac:dyDescent="0.3">
      <c r="H239" s="150">
        <v>44586</v>
      </c>
      <c r="I239" s="17">
        <v>214.68</v>
      </c>
      <c r="J239" s="1">
        <f t="shared" si="3"/>
        <v>-2.7111893569372787E-2</v>
      </c>
    </row>
    <row r="240" spans="8:10" x14ac:dyDescent="0.3">
      <c r="H240" s="150">
        <v>44587</v>
      </c>
      <c r="I240" s="17">
        <v>211.71</v>
      </c>
      <c r="J240" s="1">
        <f t="shared" si="3"/>
        <v>-1.3931133627779506E-2</v>
      </c>
    </row>
    <row r="241" spans="8:10" x14ac:dyDescent="0.3">
      <c r="H241" s="150">
        <v>44588</v>
      </c>
      <c r="I241" s="17">
        <v>212.18</v>
      </c>
      <c r="J241" s="1">
        <f t="shared" si="3"/>
        <v>2.2175573502768477E-3</v>
      </c>
    </row>
    <row r="242" spans="8:10" x14ac:dyDescent="0.3">
      <c r="H242" s="150">
        <v>44589</v>
      </c>
      <c r="I242" s="17">
        <v>217.67</v>
      </c>
      <c r="J242" s="1">
        <f t="shared" si="3"/>
        <v>2.5545183395620071E-2</v>
      </c>
    </row>
    <row r="243" spans="8:10" x14ac:dyDescent="0.3">
      <c r="H243" s="150">
        <v>44592</v>
      </c>
      <c r="I243" s="17">
        <v>220.43</v>
      </c>
      <c r="J243" s="1">
        <f t="shared" si="3"/>
        <v>1.2600029741501026E-2</v>
      </c>
    </row>
    <row r="244" spans="8:10" x14ac:dyDescent="0.3">
      <c r="H244" s="150">
        <v>44593</v>
      </c>
      <c r="I244" s="17">
        <v>219.23</v>
      </c>
      <c r="J244" s="1">
        <f t="shared" si="3"/>
        <v>-5.4587771451727581E-3</v>
      </c>
    </row>
    <row r="245" spans="8:10" x14ac:dyDescent="0.3">
      <c r="H245" s="150">
        <v>44594</v>
      </c>
      <c r="I245" s="17">
        <v>217.61</v>
      </c>
      <c r="J245" s="1">
        <f t="shared" si="3"/>
        <v>-7.4169372148724525E-3</v>
      </c>
    </row>
    <row r="246" spans="8:10" x14ac:dyDescent="0.3">
      <c r="H246" s="150">
        <v>44595</v>
      </c>
      <c r="I246" s="17">
        <v>213.22</v>
      </c>
      <c r="J246" s="1">
        <f t="shared" si="3"/>
        <v>-2.0379973285872318E-2</v>
      </c>
    </row>
    <row r="247" spans="8:10" x14ac:dyDescent="0.3">
      <c r="H247" s="150">
        <v>44596</v>
      </c>
      <c r="I247" s="17">
        <v>214.04</v>
      </c>
      <c r="J247" s="1">
        <f t="shared" si="3"/>
        <v>3.8384169207747358E-3</v>
      </c>
    </row>
    <row r="248" spans="8:10" x14ac:dyDescent="0.3">
      <c r="H248" s="150">
        <v>44599</v>
      </c>
      <c r="I248" s="17">
        <v>211.29</v>
      </c>
      <c r="J248" s="1">
        <f t="shared" si="3"/>
        <v>-1.293131601767525E-2</v>
      </c>
    </row>
    <row r="249" spans="8:10" x14ac:dyDescent="0.3">
      <c r="H249" s="150">
        <v>44600</v>
      </c>
      <c r="I249" s="17">
        <v>212.95</v>
      </c>
      <c r="J249" s="1">
        <f t="shared" si="3"/>
        <v>7.8257989437938522E-3</v>
      </c>
    </row>
    <row r="250" spans="8:10" x14ac:dyDescent="0.3">
      <c r="H250" s="150">
        <v>44601</v>
      </c>
      <c r="I250" s="17">
        <v>216.64</v>
      </c>
      <c r="J250" s="1">
        <f t="shared" si="3"/>
        <v>1.7179593354687633E-2</v>
      </c>
    </row>
    <row r="251" spans="8:10" x14ac:dyDescent="0.3">
      <c r="H251" s="150">
        <v>44602</v>
      </c>
      <c r="I251" s="17">
        <v>213.84</v>
      </c>
      <c r="J251" s="1">
        <f t="shared" si="3"/>
        <v>-1.3008917893246571E-2</v>
      </c>
    </row>
    <row r="252" spans="8:10" x14ac:dyDescent="0.3">
      <c r="H252" s="150">
        <v>44603</v>
      </c>
      <c r="I252" s="17">
        <v>211.56</v>
      </c>
      <c r="J252" s="1">
        <f t="shared" si="3"/>
        <v>-1.0719425632884399E-2</v>
      </c>
    </row>
    <row r="253" spans="8:10" x14ac:dyDescent="0.3">
      <c r="H253" s="150">
        <v>44606</v>
      </c>
      <c r="I253" s="17">
        <v>208.57</v>
      </c>
      <c r="J253" s="1">
        <f t="shared" si="3"/>
        <v>-1.4233929889235525E-2</v>
      </c>
    </row>
    <row r="254" spans="8:10" x14ac:dyDescent="0.3">
      <c r="H254" s="150">
        <v>44607</v>
      </c>
      <c r="I254" s="17">
        <v>207.18</v>
      </c>
      <c r="J254" s="1">
        <f t="shared" si="3"/>
        <v>-6.6867356785875968E-3</v>
      </c>
    </row>
    <row r="255" spans="8:10" x14ac:dyDescent="0.3">
      <c r="H255" s="150">
        <v>44608</v>
      </c>
      <c r="I255" s="17">
        <v>207.81</v>
      </c>
      <c r="J255" s="1">
        <f t="shared" si="3"/>
        <v>3.036220072667308E-3</v>
      </c>
    </row>
    <row r="256" spans="8:10" x14ac:dyDescent="0.3">
      <c r="H256" s="150">
        <v>44609</v>
      </c>
      <c r="I256" s="17">
        <v>204</v>
      </c>
      <c r="J256" s="1">
        <f t="shared" si="3"/>
        <v>-1.8504206858406987E-2</v>
      </c>
    </row>
    <row r="257" spans="8:10" x14ac:dyDescent="0.3">
      <c r="H257" s="150">
        <v>44610</v>
      </c>
      <c r="I257" s="17">
        <v>204.39</v>
      </c>
      <c r="J257" s="1">
        <f t="shared" si="3"/>
        <v>1.9099396094701296E-3</v>
      </c>
    </row>
  </sheetData>
  <hyperlinks>
    <hyperlink ref="B29" location="Assumptions!A1" display="Jump to front" xr:uid="{80A1CFEF-2F25-4A6B-9E56-AEB34EC4D5F9}"/>
  </hyperlinks>
  <pageMargins left="0.7" right="0.7" top="0.75" bottom="0.75" header="0.3" footer="0.3"/>
  <pageSetup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2E3D5-E20B-4300-819D-08A013DFE655}">
  <sheetPr codeName="Sheet20"/>
  <dimension ref="B1:R29"/>
  <sheetViews>
    <sheetView workbookViewId="0">
      <selection activeCell="B29" sqref="B29"/>
    </sheetView>
  </sheetViews>
  <sheetFormatPr defaultColWidth="9.109375" defaultRowHeight="13.8" x14ac:dyDescent="0.3"/>
  <cols>
    <col min="1" max="1" width="0.88671875" style="1" customWidth="1"/>
    <col min="2" max="2" width="40.21875" style="1" bestFit="1" customWidth="1"/>
    <col min="3" max="3" width="8.6640625" style="1" customWidth="1"/>
    <col min="4" max="4" width="1.6640625" style="1" customWidth="1"/>
    <col min="5" max="5" width="7.6640625" style="1" customWidth="1"/>
    <col min="6" max="6" width="1.6640625" style="1" customWidth="1"/>
    <col min="7" max="7" width="7.6640625" style="1" customWidth="1"/>
    <col min="8" max="8" width="2.6640625" style="1" customWidth="1"/>
    <col min="9" max="9" width="10.5546875" style="1" customWidth="1"/>
    <col min="10" max="11" width="7.6640625" style="1" customWidth="1"/>
    <col min="12" max="12" width="2.6640625" style="1" customWidth="1"/>
    <col min="13" max="13" width="7.6640625" style="1" customWidth="1"/>
    <col min="14" max="14" width="1.6640625" style="1" customWidth="1"/>
    <col min="15" max="15" width="7.6640625" style="1" customWidth="1"/>
    <col min="16" max="16" width="2.6640625" style="1" customWidth="1"/>
    <col min="17" max="17" width="7.6640625" style="1" customWidth="1"/>
    <col min="18" max="18" width="1.6640625" style="1" customWidth="1"/>
    <col min="19" max="16384" width="9.109375" style="1"/>
  </cols>
  <sheetData>
    <row r="1" spans="2:18" ht="4.95" customHeight="1" thickBot="1" x14ac:dyDescent="0.35"/>
    <row r="2" spans="2:18" x14ac:dyDescent="0.3">
      <c r="B2" s="3" t="s">
        <v>16</v>
      </c>
      <c r="C2" s="46">
        <v>9620</v>
      </c>
      <c r="E2" s="3"/>
      <c r="F2" s="6"/>
      <c r="G2" s="6" t="s">
        <v>21</v>
      </c>
      <c r="H2" s="6"/>
      <c r="I2" s="6"/>
      <c r="J2" s="6" t="s">
        <v>5</v>
      </c>
      <c r="K2" s="7" t="s">
        <v>6</v>
      </c>
      <c r="L2" s="6"/>
      <c r="M2" s="6"/>
      <c r="N2" s="6"/>
      <c r="O2" s="6" t="s">
        <v>7</v>
      </c>
      <c r="P2" s="6"/>
      <c r="Q2" s="6"/>
      <c r="R2" s="8"/>
    </row>
    <row r="3" spans="2:18" x14ac:dyDescent="0.3">
      <c r="B3" s="4" t="s">
        <v>0</v>
      </c>
      <c r="C3" s="26">
        <v>9800</v>
      </c>
      <c r="E3" s="4"/>
      <c r="K3" s="16"/>
      <c r="R3" s="5"/>
    </row>
    <row r="4" spans="2:18" x14ac:dyDescent="0.3">
      <c r="B4" s="4" t="s">
        <v>1</v>
      </c>
      <c r="C4" s="26">
        <v>10500</v>
      </c>
      <c r="E4" s="4"/>
      <c r="K4" s="16"/>
      <c r="R4" s="5"/>
    </row>
    <row r="5" spans="2:18" x14ac:dyDescent="0.3">
      <c r="B5" s="4" t="s">
        <v>2</v>
      </c>
      <c r="C5" s="26">
        <v>8700</v>
      </c>
      <c r="E5" s="4"/>
      <c r="G5" s="17"/>
      <c r="H5" s="17"/>
      <c r="I5" s="47">
        <f>C4</f>
        <v>10500</v>
      </c>
      <c r="J5" s="128">
        <f>(I7-I9)/(I5-I9)</f>
        <v>0.5377668597323868</v>
      </c>
      <c r="K5" s="17"/>
      <c r="L5" s="17"/>
      <c r="M5" s="47">
        <f>MAX(0,I5-$C$3)</f>
        <v>700</v>
      </c>
      <c r="O5" s="17"/>
      <c r="P5" s="17"/>
      <c r="Q5" s="47">
        <f>MAX(0,$C$3-I5)</f>
        <v>0</v>
      </c>
      <c r="R5" s="5"/>
    </row>
    <row r="6" spans="2:18" x14ac:dyDescent="0.3">
      <c r="B6" s="4" t="s">
        <v>3</v>
      </c>
      <c r="C6" s="24">
        <v>0.01</v>
      </c>
      <c r="E6" s="4"/>
      <c r="G6" s="17"/>
      <c r="H6" s="17"/>
      <c r="I6" s="17"/>
      <c r="K6" s="17"/>
      <c r="L6" s="17"/>
      <c r="M6" s="17"/>
      <c r="O6" s="17"/>
      <c r="P6" s="17"/>
      <c r="Q6" s="17"/>
      <c r="R6" s="5"/>
    </row>
    <row r="7" spans="2:18" x14ac:dyDescent="0.3">
      <c r="B7" s="4" t="s">
        <v>15</v>
      </c>
      <c r="C7" s="26">
        <f>C8</f>
        <v>0.5</v>
      </c>
      <c r="E7" s="4"/>
      <c r="G7" s="48">
        <f>C2</f>
        <v>9620</v>
      </c>
      <c r="H7" s="17"/>
      <c r="I7" s="49">
        <f>G7*(1+C6)^C7</f>
        <v>9667.9803475182962</v>
      </c>
      <c r="K7" s="48">
        <f>MAX(M7/(1+$C$6)^M13,G7-$C$3)</f>
        <v>374.5686175673145</v>
      </c>
      <c r="L7" s="17"/>
      <c r="M7" s="49">
        <f>M5*$J$5+M9*$J$9</f>
        <v>376.43680181267075</v>
      </c>
      <c r="O7" s="48">
        <f>Q7/(1+$C$6)^Q13</f>
        <v>505.93308162520822</v>
      </c>
      <c r="P7" s="17"/>
      <c r="Q7" s="49">
        <f>Q5*$J$5+Q9*$J$9</f>
        <v>508.45645429437451</v>
      </c>
      <c r="R7" s="5"/>
    </row>
    <row r="8" spans="2:18" ht="14.4" thickBot="1" x14ac:dyDescent="0.35">
      <c r="B8" s="4" t="s">
        <v>4</v>
      </c>
      <c r="C8" s="26">
        <f>Assumptions!B4</f>
        <v>0.5</v>
      </c>
      <c r="E8" s="4"/>
      <c r="G8" s="17"/>
      <c r="H8" s="17"/>
      <c r="I8" s="17"/>
      <c r="K8" s="17"/>
      <c r="L8" s="17"/>
      <c r="M8" s="17"/>
      <c r="O8" s="17"/>
      <c r="P8" s="17"/>
      <c r="Q8" s="17"/>
      <c r="R8" s="5"/>
    </row>
    <row r="9" spans="2:18" x14ac:dyDescent="0.3">
      <c r="B9" s="10" t="s">
        <v>8</v>
      </c>
      <c r="C9" s="43">
        <f>K7</f>
        <v>374.5686175673145</v>
      </c>
      <c r="E9" s="4"/>
      <c r="G9" s="17"/>
      <c r="H9" s="17"/>
      <c r="I9" s="47">
        <f>C5</f>
        <v>8700</v>
      </c>
      <c r="J9" s="128">
        <f>1-J5</f>
        <v>0.4622331402676132</v>
      </c>
      <c r="K9" s="17"/>
      <c r="L9" s="17"/>
      <c r="M9" s="47">
        <f>MAX(0,I9-$C$3)</f>
        <v>0</v>
      </c>
      <c r="O9" s="17"/>
      <c r="P9" s="17"/>
      <c r="Q9" s="47">
        <f>MAX(0,$C$3-I9)</f>
        <v>1100</v>
      </c>
      <c r="R9" s="5"/>
    </row>
    <row r="10" spans="2:18" x14ac:dyDescent="0.3">
      <c r="B10" s="11" t="s">
        <v>11</v>
      </c>
      <c r="C10" s="44">
        <f>MAX(C2-C3,0)</f>
        <v>0</v>
      </c>
      <c r="E10" s="4"/>
      <c r="I10" s="2"/>
      <c r="J10" s="15"/>
      <c r="M10" s="2"/>
      <c r="Q10" s="2"/>
      <c r="R10" s="5"/>
    </row>
    <row r="11" spans="2:18" ht="14.4" thickBot="1" x14ac:dyDescent="0.35">
      <c r="B11" s="12" t="s">
        <v>12</v>
      </c>
      <c r="C11" s="45">
        <f>C9-C10</f>
        <v>374.5686175673145</v>
      </c>
      <c r="E11" s="4"/>
      <c r="I11" s="2"/>
      <c r="J11" s="15"/>
      <c r="M11" s="2"/>
      <c r="Q11" s="2"/>
      <c r="R11" s="5"/>
    </row>
    <row r="12" spans="2:18" x14ac:dyDescent="0.3">
      <c r="B12" s="11" t="s">
        <v>9</v>
      </c>
      <c r="C12" s="44">
        <f>O7</f>
        <v>505.93308162520822</v>
      </c>
      <c r="E12" s="4"/>
      <c r="R12" s="5"/>
    </row>
    <row r="13" spans="2:18" ht="14.4" thickBot="1" x14ac:dyDescent="0.35">
      <c r="B13" s="11" t="s">
        <v>13</v>
      </c>
      <c r="C13" s="44">
        <f>MAX(C3-C2,0)</f>
        <v>180</v>
      </c>
      <c r="E13" s="22" t="s">
        <v>10</v>
      </c>
      <c r="F13" s="18"/>
      <c r="G13" s="19">
        <v>0</v>
      </c>
      <c r="H13" s="20"/>
      <c r="I13" s="19">
        <f>G13+$C$7</f>
        <v>0.5</v>
      </c>
      <c r="J13" s="21"/>
      <c r="K13" s="21">
        <f>G13</f>
        <v>0</v>
      </c>
      <c r="L13" s="21"/>
      <c r="M13" s="21">
        <f>K13+$C$7</f>
        <v>0.5</v>
      </c>
      <c r="N13" s="21"/>
      <c r="O13" s="21">
        <f>G13</f>
        <v>0</v>
      </c>
      <c r="P13" s="21"/>
      <c r="Q13" s="21">
        <f>O13+$C$7</f>
        <v>0.5</v>
      </c>
      <c r="R13" s="9"/>
    </row>
    <row r="14" spans="2:18" ht="14.4" thickBot="1" x14ac:dyDescent="0.35">
      <c r="B14" s="12" t="s">
        <v>14</v>
      </c>
      <c r="C14" s="45">
        <f>C12-C13</f>
        <v>325.93308162520822</v>
      </c>
      <c r="G14" s="17"/>
      <c r="K14" s="17"/>
    </row>
    <row r="15" spans="2:18" x14ac:dyDescent="0.3">
      <c r="G15" s="17"/>
      <c r="I15" s="13"/>
      <c r="J15" s="17"/>
      <c r="K15" s="17"/>
      <c r="M15" s="13"/>
    </row>
    <row r="16" spans="2:18" x14ac:dyDescent="0.3">
      <c r="B16" s="1" t="s">
        <v>94</v>
      </c>
      <c r="C16" s="23">
        <v>0.65</v>
      </c>
      <c r="G16" s="17"/>
      <c r="K16" s="17"/>
      <c r="M16" s="17"/>
    </row>
    <row r="17" spans="2:13" x14ac:dyDescent="0.3">
      <c r="B17" s="1" t="s">
        <v>93</v>
      </c>
      <c r="C17" s="23">
        <f>1-C16</f>
        <v>0.35</v>
      </c>
      <c r="G17" s="17"/>
      <c r="J17" s="17"/>
      <c r="K17" s="17"/>
      <c r="M17" s="14"/>
    </row>
    <row r="18" spans="2:13" x14ac:dyDescent="0.3">
      <c r="C18" s="13"/>
      <c r="G18" s="17"/>
      <c r="K18" s="13"/>
    </row>
    <row r="19" spans="2:13" x14ac:dyDescent="0.3">
      <c r="B19" s="1" t="s">
        <v>95</v>
      </c>
      <c r="C19" s="13">
        <f>O7</f>
        <v>505.93308162520822</v>
      </c>
      <c r="G19" s="17"/>
      <c r="I19" s="14"/>
    </row>
    <row r="20" spans="2:13" x14ac:dyDescent="0.3">
      <c r="B20" s="1" t="s">
        <v>96</v>
      </c>
      <c r="C20" s="23">
        <f>(C16*C4+C5*C17)/C2-1</f>
        <v>2.5987525987525961E-2</v>
      </c>
      <c r="G20" s="17"/>
    </row>
    <row r="21" spans="2:13" x14ac:dyDescent="0.3">
      <c r="B21" s="1" t="s">
        <v>97</v>
      </c>
      <c r="C21" s="23">
        <f>(C16*Q5+C17*Q9)/O7-1</f>
        <v>-0.23902979666151702</v>
      </c>
      <c r="G21" s="17"/>
    </row>
    <row r="22" spans="2:13" x14ac:dyDescent="0.3">
      <c r="B22" s="1" t="s">
        <v>98</v>
      </c>
      <c r="C22" s="23">
        <f>((C16*C4+C17*C5)+(Q9*C17))/(C2+O7)-1</f>
        <v>1.2746175323733899E-2</v>
      </c>
      <c r="G22" s="17"/>
    </row>
    <row r="23" spans="2:13" x14ac:dyDescent="0.3">
      <c r="G23" s="17"/>
    </row>
    <row r="24" spans="2:13" x14ac:dyDescent="0.3">
      <c r="B24" s="1" t="s">
        <v>151</v>
      </c>
      <c r="C24" s="17">
        <f>K7</f>
        <v>374.5686175673145</v>
      </c>
      <c r="G24" s="17"/>
    </row>
    <row r="25" spans="2:13" x14ac:dyDescent="0.3">
      <c r="J25" s="17"/>
    </row>
    <row r="26" spans="2:13" x14ac:dyDescent="0.3">
      <c r="J26" s="23"/>
    </row>
    <row r="29" spans="2:13" x14ac:dyDescent="0.3">
      <c r="B29" s="193" t="s">
        <v>342</v>
      </c>
    </row>
  </sheetData>
  <hyperlinks>
    <hyperlink ref="B29" location="Assumptions!A1" display="Jump to front" xr:uid="{E9BCB1A1-7246-4035-8F9A-2B814503D86C}"/>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1E30C-3D01-43C2-A451-A4603A73E185}">
  <sheetPr codeName="Sheet21"/>
  <dimension ref="B1:AG243"/>
  <sheetViews>
    <sheetView workbookViewId="0">
      <selection activeCell="L21" sqref="L21"/>
    </sheetView>
  </sheetViews>
  <sheetFormatPr defaultColWidth="9.109375" defaultRowHeight="13.8" x14ac:dyDescent="0.3"/>
  <cols>
    <col min="1" max="1" width="0.88671875" style="1" customWidth="1"/>
    <col min="2" max="2" width="40.21875" style="1" bestFit="1" customWidth="1"/>
    <col min="3" max="3" width="9.5546875" style="1" customWidth="1"/>
    <col min="4" max="4" width="1.6640625" style="1" customWidth="1"/>
    <col min="5" max="5" width="7.6640625" style="1" customWidth="1"/>
    <col min="6" max="6" width="1.6640625" style="1" customWidth="1"/>
    <col min="7" max="7" width="11" style="1" customWidth="1"/>
    <col min="8" max="8" width="2.6640625" style="1" customWidth="1"/>
    <col min="9" max="9" width="8.6640625" style="1" customWidth="1"/>
    <col min="10" max="10" width="7.6640625" style="1" customWidth="1"/>
    <col min="11" max="11" width="2.6640625" style="1" customWidth="1"/>
    <col min="12" max="12" width="8.77734375" style="1" bestFit="1" customWidth="1"/>
    <col min="13" max="13" width="1.6640625" style="1" customWidth="1"/>
    <col min="14" max="14" width="7.6640625" style="1" customWidth="1"/>
    <col min="15" max="15" width="2.6640625" style="1" customWidth="1"/>
    <col min="16" max="16" width="7.6640625" style="1" customWidth="1"/>
    <col min="17" max="17" width="2.6640625" style="1" customWidth="1"/>
    <col min="18" max="18" width="7.6640625" style="1" customWidth="1"/>
    <col min="19" max="19" width="1.6640625" style="1" customWidth="1"/>
    <col min="20" max="20" width="7.6640625" style="1" customWidth="1"/>
    <col min="21" max="21" width="2.6640625" style="1" customWidth="1"/>
    <col min="22" max="22" width="7.6640625" style="1" customWidth="1"/>
    <col min="23" max="23" width="1.6640625" style="1" customWidth="1"/>
    <col min="24" max="24" width="7.6640625" style="1" customWidth="1"/>
    <col min="25" max="25" width="1.6640625" style="1" customWidth="1"/>
    <col min="26" max="16384" width="9.109375" style="1"/>
  </cols>
  <sheetData>
    <row r="1" spans="2:33" ht="4.95" customHeight="1" thickBot="1" x14ac:dyDescent="0.35"/>
    <row r="2" spans="2:33" x14ac:dyDescent="0.3">
      <c r="B2" s="3" t="s">
        <v>16</v>
      </c>
      <c r="C2" s="46">
        <v>9620</v>
      </c>
      <c r="E2" s="3"/>
      <c r="F2" s="6"/>
      <c r="G2" s="6" t="s">
        <v>21</v>
      </c>
      <c r="H2" s="6"/>
      <c r="I2" s="6"/>
      <c r="J2" s="6" t="s">
        <v>5</v>
      </c>
      <c r="K2" s="6"/>
      <c r="L2" s="6"/>
      <c r="M2" s="6"/>
      <c r="N2" s="7" t="s">
        <v>6</v>
      </c>
      <c r="O2" s="6"/>
      <c r="P2" s="6"/>
      <c r="Q2" s="6"/>
      <c r="R2" s="6"/>
      <c r="S2" s="6"/>
      <c r="T2" s="6" t="s">
        <v>7</v>
      </c>
      <c r="U2" s="6"/>
      <c r="V2" s="6"/>
      <c r="W2" s="6"/>
      <c r="X2" s="6"/>
      <c r="Y2" s="8"/>
      <c r="AB2" s="148" t="s">
        <v>152</v>
      </c>
      <c r="AC2" s="151" t="s">
        <v>103</v>
      </c>
    </row>
    <row r="3" spans="2:33" x14ac:dyDescent="0.3">
      <c r="B3" s="4" t="s">
        <v>0</v>
      </c>
      <c r="C3" s="26">
        <v>9800</v>
      </c>
      <c r="E3" s="4"/>
      <c r="L3" s="47">
        <f>I5*I17</f>
        <v>12518.849281204211</v>
      </c>
      <c r="N3" s="16"/>
      <c r="R3" s="47">
        <f>MAX(L3-$C$3,0)</f>
        <v>2718.8492812042114</v>
      </c>
      <c r="X3" s="47">
        <f>MAX($C$3-L3,0)</f>
        <v>0</v>
      </c>
      <c r="Y3" s="5"/>
      <c r="AB3" s="150">
        <v>37287</v>
      </c>
      <c r="AC3" s="58">
        <v>2403.6493809791782</v>
      </c>
    </row>
    <row r="4" spans="2:33" x14ac:dyDescent="0.3">
      <c r="B4" s="4" t="s">
        <v>1</v>
      </c>
      <c r="C4" s="26">
        <v>44.8</v>
      </c>
      <c r="E4" s="4"/>
      <c r="L4" s="17"/>
      <c r="N4" s="16"/>
      <c r="R4" s="17"/>
      <c r="X4" s="17"/>
      <c r="Y4" s="5"/>
      <c r="AB4" s="150">
        <v>37315</v>
      </c>
      <c r="AC4" s="58">
        <v>2437.6117247191014</v>
      </c>
      <c r="AD4" s="1">
        <f>LN(AC4/AC3)</f>
        <v>1.4030600763930375E-2</v>
      </c>
      <c r="AE4" s="23">
        <f>_xlfn.STDEV.S(AD4:AD243)</f>
        <v>7.6034486162984888E-2</v>
      </c>
    </row>
    <row r="5" spans="2:33" x14ac:dyDescent="0.3">
      <c r="B5" s="4" t="s">
        <v>2</v>
      </c>
      <c r="C5" s="26">
        <v>14.79</v>
      </c>
      <c r="E5" s="4"/>
      <c r="I5" s="47">
        <f>G7*I17</f>
        <v>10974.12092539464</v>
      </c>
      <c r="J5" s="69">
        <f>(I7-I9)/(I5-I9)</f>
        <v>0.47655252390441905</v>
      </c>
      <c r="K5" s="2"/>
      <c r="L5" s="17"/>
      <c r="P5" s="47">
        <f>MAX(R5/(1+$C$6)^(R$13-P$13),I5-$C$3)</f>
        <v>1292.4553951561843</v>
      </c>
      <c r="Q5" s="2"/>
      <c r="R5" s="49">
        <f>R3*$J$5+R7*$J$9</f>
        <v>1295.6744870735824</v>
      </c>
      <c r="V5" s="47">
        <f>MAX(X5/(1+$C$6)^(X$13-V$13),$C$3-I5)</f>
        <v>93.986455576472935</v>
      </c>
      <c r="W5" s="2"/>
      <c r="X5" s="49">
        <f>X3*$J$5+X7*$J$9</f>
        <v>94.220545697203619</v>
      </c>
      <c r="Y5" s="5"/>
      <c r="AB5" s="150">
        <v>37343</v>
      </c>
      <c r="AC5" s="58">
        <v>2563.4580336134454</v>
      </c>
      <c r="AD5" s="1">
        <f t="shared" ref="AD5:AD68" si="0">LN(AC5/AC4)</f>
        <v>5.0338382748103247E-2</v>
      </c>
      <c r="AF5" s="1" t="s">
        <v>157</v>
      </c>
      <c r="AG5" s="1">
        <v>12</v>
      </c>
    </row>
    <row r="6" spans="2:33" x14ac:dyDescent="0.3">
      <c r="B6" s="4" t="s">
        <v>3</v>
      </c>
      <c r="C6" s="24">
        <v>0.01</v>
      </c>
      <c r="E6" s="4"/>
      <c r="I6" s="17"/>
      <c r="L6" s="17"/>
      <c r="P6" s="17"/>
      <c r="R6" s="17"/>
      <c r="V6" s="17"/>
      <c r="X6" s="17"/>
      <c r="Y6" s="5"/>
      <c r="AB6" s="150">
        <v>37376</v>
      </c>
      <c r="AC6" s="58">
        <v>2513.4963775794754</v>
      </c>
      <c r="AD6" s="1">
        <f t="shared" si="0"/>
        <v>-1.9682378406088705E-2</v>
      </c>
      <c r="AF6" s="23">
        <f>AE4*SQRT(AG5)</f>
        <v>0.26339118632336517</v>
      </c>
    </row>
    <row r="7" spans="2:33" x14ac:dyDescent="0.3">
      <c r="B7" s="4" t="s">
        <v>15</v>
      </c>
      <c r="C7" s="25">
        <f>3/12</f>
        <v>0.25</v>
      </c>
      <c r="E7" s="4"/>
      <c r="G7" s="48">
        <f>C2</f>
        <v>9620</v>
      </c>
      <c r="I7" s="49">
        <f>G7*(1+C6)^C7</f>
        <v>9643.9603350037687</v>
      </c>
      <c r="K7" s="2"/>
      <c r="L7" s="47">
        <f>I9*I17</f>
        <v>9620.0000000000018</v>
      </c>
      <c r="N7" s="48">
        <f>MAX(P7/(1+$C$6)^P13,G7-$C$3)</f>
        <v>614.39262559212909</v>
      </c>
      <c r="O7" s="2"/>
      <c r="P7" s="49">
        <f>P5*$J$5+P9*$J$9</f>
        <v>615.9228805955629</v>
      </c>
      <c r="Q7" s="2"/>
      <c r="R7" s="47">
        <f>MAX(L7-$C$3,0)</f>
        <v>0</v>
      </c>
      <c r="T7" s="48">
        <f>MAX(V7/(1+$C$6)^V13,C3-$G$7)</f>
        <v>758.47033161435968</v>
      </c>
      <c r="U7" s="2"/>
      <c r="V7" s="49">
        <f>V5*$J$5+V9*$J$9</f>
        <v>760.35943797983782</v>
      </c>
      <c r="W7" s="2"/>
      <c r="X7" s="47">
        <f>MAX($C$3-L7,0)</f>
        <v>179.99999999999818</v>
      </c>
      <c r="Y7" s="5"/>
      <c r="AB7" s="150">
        <v>37407</v>
      </c>
      <c r="AC7" s="58">
        <v>2558.6008746518105</v>
      </c>
      <c r="AD7" s="1">
        <f t="shared" si="0"/>
        <v>1.7785812784902776E-2</v>
      </c>
    </row>
    <row r="8" spans="2:33" ht="14.4" thickBot="1" x14ac:dyDescent="0.35">
      <c r="B8" s="4" t="s">
        <v>4</v>
      </c>
      <c r="C8" s="25">
        <v>0.5</v>
      </c>
      <c r="E8" s="4"/>
      <c r="I8" s="17"/>
      <c r="L8" s="17"/>
      <c r="P8" s="17"/>
      <c r="R8" s="17"/>
      <c r="V8" s="17"/>
      <c r="X8" s="17"/>
      <c r="Y8" s="5"/>
      <c r="AB8" s="150">
        <v>37435</v>
      </c>
      <c r="AC8" s="58">
        <v>2596.4208351893094</v>
      </c>
      <c r="AD8" s="1">
        <f t="shared" si="0"/>
        <v>1.46733190418258E-2</v>
      </c>
    </row>
    <row r="9" spans="2:33" x14ac:dyDescent="0.3">
      <c r="B9" s="10" t="s">
        <v>8</v>
      </c>
      <c r="C9" s="43">
        <f>N7</f>
        <v>614.39262559212909</v>
      </c>
      <c r="E9" s="4"/>
      <c r="I9" s="47">
        <f>G7*I18</f>
        <v>8432.9670348217005</v>
      </c>
      <c r="J9" s="69">
        <f>1-J5</f>
        <v>0.52344747609558095</v>
      </c>
      <c r="K9" s="2"/>
      <c r="L9" s="17"/>
      <c r="P9" s="47">
        <f>MAX(R9/(1+$C$6)^(R$13-P$13),I9-$C$3)</f>
        <v>0</v>
      </c>
      <c r="Q9" s="2"/>
      <c r="R9" s="49">
        <f>R7*$J$5+R11*$J$9</f>
        <v>0</v>
      </c>
      <c r="V9" s="47">
        <f>MAX(X9/(1+$C$6)^(X$13-V$13),$C$3-I9)</f>
        <v>1367.0329651782995</v>
      </c>
      <c r="W9" s="2"/>
      <c r="X9" s="49">
        <f>X7*$J$5+X11*$J$9</f>
        <v>1346.0291486263179</v>
      </c>
      <c r="Y9" s="5"/>
      <c r="AB9" s="150">
        <v>37468</v>
      </c>
      <c r="AC9" s="58">
        <v>2365.8877583333333</v>
      </c>
      <c r="AD9" s="1">
        <f t="shared" si="0"/>
        <v>-9.2980569779021027E-2</v>
      </c>
    </row>
    <row r="10" spans="2:33" x14ac:dyDescent="0.3">
      <c r="B10" s="11" t="s">
        <v>11</v>
      </c>
      <c r="C10" s="44">
        <f>MAX(C2-C3,0)</f>
        <v>0</v>
      </c>
      <c r="E10" s="4"/>
      <c r="I10" s="2"/>
      <c r="J10" s="15"/>
      <c r="K10" s="2"/>
      <c r="L10" s="17"/>
      <c r="P10" s="2"/>
      <c r="Q10" s="2"/>
      <c r="R10" s="17"/>
      <c r="V10" s="2"/>
      <c r="W10" s="2"/>
      <c r="X10" s="17"/>
      <c r="Y10" s="5"/>
      <c r="AB10" s="150">
        <v>37498</v>
      </c>
      <c r="AC10" s="58">
        <v>2342.9335180055405</v>
      </c>
      <c r="AD10" s="1">
        <f t="shared" si="0"/>
        <v>-9.7495406191503865E-3</v>
      </c>
    </row>
    <row r="11" spans="2:33" ht="14.4" thickBot="1" x14ac:dyDescent="0.35">
      <c r="B11" s="12" t="s">
        <v>12</v>
      </c>
      <c r="C11" s="45">
        <f>C9-C10</f>
        <v>614.39262559212909</v>
      </c>
      <c r="E11" s="4"/>
      <c r="I11" s="2"/>
      <c r="J11" s="15"/>
      <c r="K11" s="2"/>
      <c r="L11" s="47">
        <f>I9*I18</f>
        <v>7392.4046788346668</v>
      </c>
      <c r="P11" s="2"/>
      <c r="Q11" s="2"/>
      <c r="R11" s="47">
        <f>MAX(L11-$C$3,0)</f>
        <v>0</v>
      </c>
      <c r="V11" s="2"/>
      <c r="W11" s="2"/>
      <c r="X11" s="47">
        <f>MAX($C$3-L11,0)</f>
        <v>2407.5953211653332</v>
      </c>
      <c r="Y11" s="5"/>
      <c r="AB11" s="150">
        <v>37529</v>
      </c>
      <c r="AC11" s="58">
        <v>2236.9075691371677</v>
      </c>
      <c r="AD11" s="1">
        <f t="shared" si="0"/>
        <v>-4.6309421854022842E-2</v>
      </c>
    </row>
    <row r="12" spans="2:33" x14ac:dyDescent="0.3">
      <c r="B12" s="11" t="s">
        <v>9</v>
      </c>
      <c r="C12" s="44">
        <f>T7</f>
        <v>758.47033161435968</v>
      </c>
      <c r="E12" s="4"/>
      <c r="Y12" s="5"/>
      <c r="AB12" s="150">
        <v>37560</v>
      </c>
      <c r="AC12" s="58">
        <v>2389.8956291390728</v>
      </c>
      <c r="AD12" s="1">
        <f t="shared" si="0"/>
        <v>6.6155332635395372E-2</v>
      </c>
    </row>
    <row r="13" spans="2:33" ht="14.4" thickBot="1" x14ac:dyDescent="0.35">
      <c r="B13" s="11" t="s">
        <v>13</v>
      </c>
      <c r="C13" s="44">
        <f>MAX(C3-C2,0)</f>
        <v>180</v>
      </c>
      <c r="E13" s="22" t="s">
        <v>10</v>
      </c>
      <c r="F13" s="18"/>
      <c r="G13" s="19">
        <v>0</v>
      </c>
      <c r="H13" s="20"/>
      <c r="I13" s="19">
        <f>G13+$C$7</f>
        <v>0.25</v>
      </c>
      <c r="J13" s="21"/>
      <c r="K13" s="19"/>
      <c r="L13" s="19">
        <f>I13+$C$7</f>
        <v>0.5</v>
      </c>
      <c r="M13" s="21"/>
      <c r="N13" s="21">
        <f>G13</f>
        <v>0</v>
      </c>
      <c r="O13" s="21"/>
      <c r="P13" s="21">
        <f>N13+$C$7</f>
        <v>0.25</v>
      </c>
      <c r="Q13" s="21"/>
      <c r="R13" s="21">
        <f>P13+$C$7</f>
        <v>0.5</v>
      </c>
      <c r="S13" s="21"/>
      <c r="T13" s="21">
        <f>G13</f>
        <v>0</v>
      </c>
      <c r="U13" s="21"/>
      <c r="V13" s="21">
        <f>T13+$C$7</f>
        <v>0.25</v>
      </c>
      <c r="W13" s="21"/>
      <c r="X13" s="21">
        <f>V13+$C$7</f>
        <v>0.5</v>
      </c>
      <c r="Y13" s="9"/>
      <c r="AB13" s="150">
        <v>37589</v>
      </c>
      <c r="AC13" s="58">
        <v>2525.7468760330576</v>
      </c>
      <c r="AD13" s="1">
        <f t="shared" si="0"/>
        <v>5.5287116304111886E-2</v>
      </c>
    </row>
    <row r="14" spans="2:33" ht="14.4" thickBot="1" x14ac:dyDescent="0.35">
      <c r="B14" s="12" t="s">
        <v>14</v>
      </c>
      <c r="C14" s="45">
        <f>C12-C13</f>
        <v>578.47033161435968</v>
      </c>
      <c r="N14" s="17"/>
      <c r="AB14" s="150">
        <v>37621</v>
      </c>
      <c r="AC14" s="58">
        <v>2382.0081848184814</v>
      </c>
      <c r="AD14" s="1">
        <f t="shared" si="0"/>
        <v>-5.859290443861153E-2</v>
      </c>
    </row>
    <row r="15" spans="2:33" x14ac:dyDescent="0.3">
      <c r="G15" s="1" t="s">
        <v>165</v>
      </c>
      <c r="I15" s="13">
        <f>EXP(AF6)</f>
        <v>1.3013356841168615</v>
      </c>
      <c r="J15" s="17"/>
      <c r="K15" s="13"/>
      <c r="L15" s="13"/>
      <c r="N15" s="17"/>
      <c r="P15" s="13"/>
      <c r="R15" s="17"/>
      <c r="X15" s="2"/>
      <c r="AB15" s="150">
        <v>37652</v>
      </c>
      <c r="AC15" s="58">
        <v>2645.6308625410734</v>
      </c>
      <c r="AD15" s="1">
        <f t="shared" si="0"/>
        <v>0.10496564118955669</v>
      </c>
    </row>
    <row r="16" spans="2:33" x14ac:dyDescent="0.3">
      <c r="C16" s="23"/>
      <c r="G16" s="1" t="s">
        <v>166</v>
      </c>
      <c r="I16" s="1">
        <f>1/I15</f>
        <v>0.76844123480609849</v>
      </c>
      <c r="N16" s="17" t="s">
        <v>365</v>
      </c>
      <c r="P16" s="17"/>
      <c r="R16" s="17"/>
      <c r="AB16" s="150">
        <v>37680</v>
      </c>
      <c r="AC16" s="58">
        <v>2635.060065359477</v>
      </c>
      <c r="AD16" s="1">
        <f t="shared" si="0"/>
        <v>-4.0035712922779744E-3</v>
      </c>
    </row>
    <row r="17" spans="2:30" x14ac:dyDescent="0.3">
      <c r="B17" s="1" t="s">
        <v>99</v>
      </c>
      <c r="C17" s="129">
        <f>X11</f>
        <v>2407.5953211653332</v>
      </c>
      <c r="G17" s="152" t="s">
        <v>167</v>
      </c>
      <c r="I17" s="1">
        <f>EXP(N17*SQRT(C7))</f>
        <v>1.1407610109557837</v>
      </c>
      <c r="J17" s="17"/>
      <c r="L17" s="14"/>
      <c r="N17" s="23">
        <f>AF6</f>
        <v>0.26339118632336517</v>
      </c>
      <c r="P17" s="14"/>
      <c r="R17" s="17"/>
      <c r="AB17" s="150">
        <v>37711</v>
      </c>
      <c r="AC17" s="58">
        <v>2433.7609434475253</v>
      </c>
      <c r="AD17" s="1">
        <f t="shared" si="0"/>
        <v>-7.9468202704946367E-2</v>
      </c>
    </row>
    <row r="18" spans="2:30" x14ac:dyDescent="0.3">
      <c r="B18" s="1" t="s">
        <v>100</v>
      </c>
      <c r="C18" s="13">
        <f>T7</f>
        <v>758.47033161435968</v>
      </c>
      <c r="G18" s="152" t="s">
        <v>168</v>
      </c>
      <c r="I18" s="1">
        <f>1/I17</f>
        <v>0.87660779987751558</v>
      </c>
      <c r="N18" s="13"/>
      <c r="AB18" s="150">
        <v>37741</v>
      </c>
      <c r="AC18" s="58">
        <v>2468.4526855895197</v>
      </c>
      <c r="AD18" s="1">
        <f t="shared" si="0"/>
        <v>1.4153737029858891E-2</v>
      </c>
    </row>
    <row r="19" spans="2:30" x14ac:dyDescent="0.3">
      <c r="B19" s="1" t="s">
        <v>101</v>
      </c>
      <c r="C19" s="13">
        <f>'Vornado European'!T7-'2 step binomial with euro v (2)'!T7</f>
        <v>-755.724262791314</v>
      </c>
      <c r="I19" s="14"/>
      <c r="AB19" s="150">
        <v>37771</v>
      </c>
      <c r="AC19" s="58">
        <v>2594.2768671405138</v>
      </c>
      <c r="AD19" s="1">
        <f t="shared" si="0"/>
        <v>4.9716302607556051E-2</v>
      </c>
    </row>
    <row r="20" spans="2:30" x14ac:dyDescent="0.3">
      <c r="C20" s="1" t="s">
        <v>341</v>
      </c>
      <c r="AB20" s="150">
        <v>37802</v>
      </c>
      <c r="AC20" s="58">
        <v>2531.3918732932821</v>
      </c>
      <c r="AD20" s="1">
        <f t="shared" si="0"/>
        <v>-2.4538514858325877E-2</v>
      </c>
    </row>
    <row r="21" spans="2:30" x14ac:dyDescent="0.3">
      <c r="AB21" s="150">
        <v>37833</v>
      </c>
      <c r="AC21" s="58">
        <v>2714.9672128470334</v>
      </c>
      <c r="AD21" s="1">
        <f t="shared" si="0"/>
        <v>7.0010578003045193E-2</v>
      </c>
    </row>
    <row r="22" spans="2:30" x14ac:dyDescent="0.3">
      <c r="B22" s="153" t="s">
        <v>163</v>
      </c>
      <c r="AB22" s="150">
        <v>37862</v>
      </c>
      <c r="AC22" s="58">
        <v>2668.0488780487804</v>
      </c>
      <c r="AD22" s="1">
        <f t="shared" si="0"/>
        <v>-1.7432429019739754E-2</v>
      </c>
    </row>
    <row r="23" spans="2:30" x14ac:dyDescent="0.3">
      <c r="B23" s="1" t="s">
        <v>164</v>
      </c>
      <c r="AB23" s="150">
        <v>37894</v>
      </c>
      <c r="AC23" s="58">
        <v>2732.511085899514</v>
      </c>
      <c r="AD23" s="1">
        <f t="shared" si="0"/>
        <v>2.3873550120324064E-2</v>
      </c>
    </row>
    <row r="24" spans="2:30" x14ac:dyDescent="0.3">
      <c r="AB24" s="150">
        <v>37925</v>
      </c>
      <c r="AC24" s="58">
        <v>3136.485565170362</v>
      </c>
      <c r="AD24" s="1">
        <f t="shared" si="0"/>
        <v>0.13788192822058826</v>
      </c>
    </row>
    <row r="25" spans="2:30" x14ac:dyDescent="0.3">
      <c r="B25" s="1" t="s">
        <v>340</v>
      </c>
      <c r="AB25" s="150">
        <v>37953</v>
      </c>
      <c r="AC25" s="58">
        <v>3159.935543243243</v>
      </c>
      <c r="AD25" s="1">
        <f t="shared" si="0"/>
        <v>7.4487033482332383E-3</v>
      </c>
    </row>
    <row r="26" spans="2:30" x14ac:dyDescent="0.3">
      <c r="AB26" s="150">
        <v>37986</v>
      </c>
      <c r="AC26" s="58">
        <v>3527.5821725067385</v>
      </c>
      <c r="AD26" s="1">
        <f t="shared" si="0"/>
        <v>0.11006106961883615</v>
      </c>
    </row>
    <row r="27" spans="2:30" x14ac:dyDescent="0.3">
      <c r="AB27" s="150">
        <v>38016</v>
      </c>
      <c r="AC27" s="58">
        <v>3766.6733064949003</v>
      </c>
      <c r="AD27" s="1">
        <f t="shared" si="0"/>
        <v>6.5579500533101881E-2</v>
      </c>
    </row>
    <row r="28" spans="2:30" x14ac:dyDescent="0.3">
      <c r="AB28" s="150">
        <v>38044</v>
      </c>
      <c r="AC28" s="58">
        <v>4510.6259828602033</v>
      </c>
      <c r="AD28" s="1">
        <f t="shared" si="0"/>
        <v>0.18024374290838363</v>
      </c>
    </row>
    <row r="29" spans="2:30" x14ac:dyDescent="0.3">
      <c r="B29" s="193" t="s">
        <v>342</v>
      </c>
      <c r="AB29" s="150">
        <v>38077</v>
      </c>
      <c r="AC29" s="58">
        <v>4622.2847541421697</v>
      </c>
      <c r="AD29" s="1">
        <f t="shared" si="0"/>
        <v>2.445317563658975E-2</v>
      </c>
    </row>
    <row r="30" spans="2:30" x14ac:dyDescent="0.3">
      <c r="AB30" s="150">
        <v>38107</v>
      </c>
      <c r="AC30" s="58">
        <v>4140.2327427961582</v>
      </c>
      <c r="AD30" s="1">
        <f t="shared" si="0"/>
        <v>-0.11013711405610999</v>
      </c>
    </row>
    <row r="31" spans="2:30" x14ac:dyDescent="0.3">
      <c r="AB31" s="150">
        <v>38135</v>
      </c>
      <c r="AC31" s="58">
        <v>4240.2303746014877</v>
      </c>
      <c r="AD31" s="1">
        <f t="shared" si="0"/>
        <v>2.3865597076522797E-2</v>
      </c>
    </row>
    <row r="32" spans="2:30" x14ac:dyDescent="0.3">
      <c r="AB32" s="150">
        <v>38168</v>
      </c>
      <c r="AC32" s="58">
        <v>3976.7627236633134</v>
      </c>
      <c r="AD32" s="1">
        <f t="shared" si="0"/>
        <v>-6.4149499096062351E-2</v>
      </c>
    </row>
    <row r="33" spans="28:30" x14ac:dyDescent="0.3">
      <c r="AB33" s="150">
        <v>38198</v>
      </c>
      <c r="AC33" s="58">
        <v>4323.6684294024326</v>
      </c>
      <c r="AD33" s="1">
        <f t="shared" si="0"/>
        <v>8.3636113080780672E-2</v>
      </c>
    </row>
    <row r="34" spans="28:30" x14ac:dyDescent="0.3">
      <c r="AB34" s="150">
        <v>38230</v>
      </c>
      <c r="AC34" s="58">
        <v>4242.4061892177588</v>
      </c>
      <c r="AD34" s="1">
        <f t="shared" si="0"/>
        <v>-1.897360964989395E-2</v>
      </c>
    </row>
    <row r="35" spans="28:30" x14ac:dyDescent="0.3">
      <c r="AB35" s="150">
        <v>38260</v>
      </c>
      <c r="AC35" s="58">
        <v>4664.2234984193883</v>
      </c>
      <c r="AD35" s="1">
        <f t="shared" si="0"/>
        <v>9.4790762066211801E-2</v>
      </c>
    </row>
    <row r="36" spans="28:30" x14ac:dyDescent="0.3">
      <c r="AB36" s="150">
        <v>38289</v>
      </c>
      <c r="AC36" s="58">
        <v>4360.5046278825994</v>
      </c>
      <c r="AD36" s="1">
        <f t="shared" si="0"/>
        <v>-6.7333576797718231E-2</v>
      </c>
    </row>
    <row r="37" spans="28:30" x14ac:dyDescent="0.3">
      <c r="AB37" s="150">
        <v>38321</v>
      </c>
      <c r="AC37" s="58">
        <v>4797.4201669274908</v>
      </c>
      <c r="AD37" s="1">
        <f t="shared" si="0"/>
        <v>9.5490517200607195E-2</v>
      </c>
    </row>
    <row r="38" spans="28:30" x14ac:dyDescent="0.3">
      <c r="AB38" s="150">
        <v>38352</v>
      </c>
      <c r="AC38" s="58">
        <v>4823.1573995826811</v>
      </c>
      <c r="AD38" s="1">
        <f t="shared" si="0"/>
        <v>5.3504675528309462E-3</v>
      </c>
    </row>
    <row r="39" spans="28:30" x14ac:dyDescent="0.3">
      <c r="AB39" s="150">
        <v>38383</v>
      </c>
      <c r="AC39" s="58">
        <v>4819.7888387265129</v>
      </c>
      <c r="AD39" s="1">
        <f t="shared" si="0"/>
        <v>-6.986580470205951E-4</v>
      </c>
    </row>
    <row r="40" spans="28:30" x14ac:dyDescent="0.3">
      <c r="AB40" s="150">
        <v>38411</v>
      </c>
      <c r="AC40" s="58">
        <v>4989.5107328482327</v>
      </c>
      <c r="AD40" s="1">
        <f t="shared" si="0"/>
        <v>3.4607737716835833E-2</v>
      </c>
    </row>
    <row r="41" spans="28:30" x14ac:dyDescent="0.3">
      <c r="AB41" s="150">
        <v>38442</v>
      </c>
      <c r="AC41" s="58">
        <v>4975.8035422061112</v>
      </c>
      <c r="AD41" s="1">
        <f t="shared" si="0"/>
        <v>-2.7509818372689677E-3</v>
      </c>
    </row>
    <row r="42" spans="28:30" x14ac:dyDescent="0.3">
      <c r="AB42" s="150">
        <v>38471</v>
      </c>
      <c r="AC42" s="58">
        <v>4873.7875606608159</v>
      </c>
      <c r="AD42" s="1">
        <f t="shared" si="0"/>
        <v>-2.0715505577582921E-2</v>
      </c>
    </row>
    <row r="43" spans="28:30" x14ac:dyDescent="0.3">
      <c r="AB43" s="150">
        <v>38503</v>
      </c>
      <c r="AC43" s="58">
        <v>4680.437303719008</v>
      </c>
      <c r="AD43" s="1">
        <f t="shared" si="0"/>
        <v>-4.0479821482173564E-2</v>
      </c>
    </row>
    <row r="44" spans="28:30" x14ac:dyDescent="0.3">
      <c r="AB44" s="150">
        <v>38533</v>
      </c>
      <c r="AC44" s="58">
        <v>5235.4827103768712</v>
      </c>
      <c r="AD44" s="1">
        <f t="shared" si="0"/>
        <v>0.11206750182769251</v>
      </c>
    </row>
    <row r="45" spans="28:30" x14ac:dyDescent="0.3">
      <c r="AB45" s="150">
        <v>38562</v>
      </c>
      <c r="AC45" s="58">
        <v>5460.7340944073876</v>
      </c>
      <c r="AD45" s="1">
        <f t="shared" si="0"/>
        <v>4.2124181886936077E-2</v>
      </c>
    </row>
    <row r="46" spans="28:30" x14ac:dyDescent="0.3">
      <c r="AB46" s="150">
        <v>38595</v>
      </c>
      <c r="AC46" s="58">
        <v>5628.5960989291179</v>
      </c>
      <c r="AD46" s="1">
        <f t="shared" si="0"/>
        <v>3.0276820052993203E-2</v>
      </c>
    </row>
    <row r="47" spans="28:30" x14ac:dyDescent="0.3">
      <c r="AB47" s="150">
        <v>38625</v>
      </c>
      <c r="AC47" s="58">
        <v>5600.3693008048285</v>
      </c>
      <c r="AD47" s="1">
        <f t="shared" si="0"/>
        <v>-5.027508158427221E-3</v>
      </c>
    </row>
    <row r="48" spans="28:30" x14ac:dyDescent="0.3">
      <c r="AB48" s="150">
        <v>38656</v>
      </c>
      <c r="AC48" s="58">
        <v>5793.0080512305376</v>
      </c>
      <c r="AD48" s="1">
        <f t="shared" si="0"/>
        <v>3.381913979507227E-2</v>
      </c>
    </row>
    <row r="49" spans="28:30" x14ac:dyDescent="0.3">
      <c r="AB49" s="150">
        <v>38686</v>
      </c>
      <c r="AC49" s="58">
        <v>6268.4194775365977</v>
      </c>
      <c r="AD49" s="1">
        <f t="shared" si="0"/>
        <v>7.88725639860971E-2</v>
      </c>
    </row>
    <row r="50" spans="28:30" x14ac:dyDescent="0.3">
      <c r="AB50" s="150">
        <v>38716</v>
      </c>
      <c r="AC50" s="58">
        <v>6524.5928243311455</v>
      </c>
      <c r="AD50" s="1">
        <f t="shared" si="0"/>
        <v>4.0054302940104952E-2</v>
      </c>
    </row>
    <row r="51" spans="28:30" x14ac:dyDescent="0.3">
      <c r="AB51" s="150">
        <v>38748</v>
      </c>
      <c r="AC51" s="58">
        <v>6959.2041821374805</v>
      </c>
      <c r="AD51" s="1">
        <f t="shared" si="0"/>
        <v>6.4486577301620759E-2</v>
      </c>
    </row>
    <row r="52" spans="28:30" x14ac:dyDescent="0.3">
      <c r="AB52" s="150">
        <v>38776</v>
      </c>
      <c r="AC52" s="58">
        <v>6841.8946188565697</v>
      </c>
      <c r="AD52" s="1">
        <f t="shared" si="0"/>
        <v>-1.7000441821490388E-2</v>
      </c>
    </row>
    <row r="53" spans="28:30" x14ac:dyDescent="0.3">
      <c r="AB53" s="150">
        <v>38807</v>
      </c>
      <c r="AC53" s="58">
        <v>7803.6287305958949</v>
      </c>
      <c r="AD53" s="1">
        <f t="shared" si="0"/>
        <v>0.13152416304425135</v>
      </c>
    </row>
    <row r="54" spans="28:30" x14ac:dyDescent="0.3">
      <c r="AB54" s="150">
        <v>38835</v>
      </c>
      <c r="AC54" s="58">
        <v>10156.330792227205</v>
      </c>
      <c r="AD54" s="1">
        <f t="shared" si="0"/>
        <v>0.26350838704068608</v>
      </c>
    </row>
    <row r="55" spans="28:30" x14ac:dyDescent="0.3">
      <c r="AB55" s="150">
        <v>38868</v>
      </c>
      <c r="AC55" s="58">
        <v>11400.569398907102</v>
      </c>
      <c r="AD55" s="1">
        <f t="shared" si="0"/>
        <v>0.11556606700032214</v>
      </c>
    </row>
    <row r="56" spans="28:30" x14ac:dyDescent="0.3">
      <c r="AB56" s="150">
        <v>38898</v>
      </c>
      <c r="AC56" s="58">
        <v>10479.580936570861</v>
      </c>
      <c r="AD56" s="1">
        <f t="shared" si="0"/>
        <v>-8.4234610300712498E-2</v>
      </c>
    </row>
    <row r="57" spans="28:30" x14ac:dyDescent="0.3">
      <c r="AB57" s="150">
        <v>38929</v>
      </c>
      <c r="AC57" s="58">
        <v>10908.40323558403</v>
      </c>
      <c r="AD57" s="1">
        <f t="shared" si="0"/>
        <v>4.0104740133679408E-2</v>
      </c>
    </row>
    <row r="58" spans="28:30" x14ac:dyDescent="0.3">
      <c r="AB58" s="150">
        <v>38960</v>
      </c>
      <c r="AC58" s="58">
        <v>10578.712713444553</v>
      </c>
      <c r="AD58" s="1">
        <f t="shared" si="0"/>
        <v>-3.0689683928206434E-2</v>
      </c>
    </row>
    <row r="59" spans="28:30" x14ac:dyDescent="0.3">
      <c r="AB59" s="150">
        <v>38989</v>
      </c>
      <c r="AC59" s="58">
        <v>10566.926691321498</v>
      </c>
      <c r="AD59" s="1">
        <f t="shared" si="0"/>
        <v>-1.1147474065884423E-3</v>
      </c>
    </row>
    <row r="60" spans="28:30" x14ac:dyDescent="0.3">
      <c r="AB60" s="150">
        <v>39021</v>
      </c>
      <c r="AC60" s="58">
        <v>10347.318127786031</v>
      </c>
      <c r="AD60" s="1">
        <f t="shared" si="0"/>
        <v>-2.1001631877671605E-2</v>
      </c>
    </row>
    <row r="61" spans="28:30" x14ac:dyDescent="0.3">
      <c r="AB61" s="150">
        <v>39051</v>
      </c>
      <c r="AC61" s="58">
        <v>9680.6301386138603</v>
      </c>
      <c r="AD61" s="1">
        <f t="shared" si="0"/>
        <v>-6.660037191216768E-2</v>
      </c>
    </row>
    <row r="62" spans="28:30" x14ac:dyDescent="0.3">
      <c r="AB62" s="150">
        <v>39080</v>
      </c>
      <c r="AC62" s="58">
        <v>8731.4552929591337</v>
      </c>
      <c r="AD62" s="1">
        <f t="shared" si="0"/>
        <v>-0.10319493995102569</v>
      </c>
    </row>
    <row r="63" spans="28:30" x14ac:dyDescent="0.3">
      <c r="AB63" s="150">
        <v>39113</v>
      </c>
      <c r="AC63" s="58">
        <v>7831.4337264116157</v>
      </c>
      <c r="AD63" s="1">
        <f t="shared" si="0"/>
        <v>-0.10878645612087562</v>
      </c>
    </row>
    <row r="64" spans="28:30" x14ac:dyDescent="0.3">
      <c r="AB64" s="150">
        <v>39141</v>
      </c>
      <c r="AC64" s="58">
        <v>8255.3609236825869</v>
      </c>
      <c r="AD64" s="1">
        <f t="shared" si="0"/>
        <v>5.2717198181294493E-2</v>
      </c>
    </row>
    <row r="65" spans="28:30" x14ac:dyDescent="0.3">
      <c r="AB65" s="150">
        <v>39171</v>
      </c>
      <c r="AC65" s="58">
        <v>9531.0735162308556</v>
      </c>
      <c r="AD65" s="1">
        <f t="shared" si="0"/>
        <v>0.14369455906297313</v>
      </c>
    </row>
    <row r="66" spans="28:30" x14ac:dyDescent="0.3">
      <c r="AB66" s="150">
        <v>39202</v>
      </c>
      <c r="AC66" s="58">
        <v>10713.656648243841</v>
      </c>
      <c r="AD66" s="1">
        <f t="shared" si="0"/>
        <v>0.11696189262037829</v>
      </c>
    </row>
    <row r="67" spans="28:30" x14ac:dyDescent="0.3">
      <c r="AB67" s="150">
        <v>39233</v>
      </c>
      <c r="AC67" s="58">
        <v>10145.933527605135</v>
      </c>
      <c r="AD67" s="1">
        <f t="shared" si="0"/>
        <v>-5.4446262390046185E-2</v>
      </c>
    </row>
    <row r="68" spans="28:30" x14ac:dyDescent="0.3">
      <c r="AB68" s="150">
        <v>39262</v>
      </c>
      <c r="AC68" s="58">
        <v>10407.498045687484</v>
      </c>
      <c r="AD68" s="1">
        <f t="shared" si="0"/>
        <v>2.5453524771018161E-2</v>
      </c>
    </row>
    <row r="69" spans="28:30" x14ac:dyDescent="0.3">
      <c r="AB69" s="150">
        <v>39294</v>
      </c>
      <c r="AC69" s="58">
        <v>11080.241359710601</v>
      </c>
      <c r="AD69" s="1">
        <f t="shared" ref="AD69:AD132" si="1">LN(AC69/AC68)</f>
        <v>6.2636952141537805E-2</v>
      </c>
    </row>
    <row r="70" spans="28:30" x14ac:dyDescent="0.3">
      <c r="AB70" s="150">
        <v>39325</v>
      </c>
      <c r="AC70" s="58">
        <v>10290.764252384828</v>
      </c>
      <c r="AD70" s="1">
        <f t="shared" si="1"/>
        <v>-7.3916645992501737E-2</v>
      </c>
    </row>
    <row r="71" spans="28:30" x14ac:dyDescent="0.3">
      <c r="AB71" s="150">
        <v>39353</v>
      </c>
      <c r="AC71" s="58">
        <v>11038.197360786777</v>
      </c>
      <c r="AD71" s="1">
        <f t="shared" si="1"/>
        <v>7.0114926522710092E-2</v>
      </c>
    </row>
    <row r="72" spans="28:30" x14ac:dyDescent="0.3">
      <c r="AB72" s="150">
        <v>39386</v>
      </c>
      <c r="AC72" s="58">
        <v>10459.78303456188</v>
      </c>
      <c r="AD72" s="1">
        <f t="shared" si="1"/>
        <v>-5.3824028951526125E-2</v>
      </c>
    </row>
    <row r="73" spans="28:30" x14ac:dyDescent="0.3">
      <c r="AB73" s="150">
        <v>39416</v>
      </c>
      <c r="AC73" s="58">
        <v>9301.7537399091216</v>
      </c>
      <c r="AD73" s="1">
        <f t="shared" si="1"/>
        <v>-0.11733475946283849</v>
      </c>
    </row>
    <row r="74" spans="28:30" x14ac:dyDescent="0.3">
      <c r="AB74" s="150">
        <v>39447</v>
      </c>
      <c r="AC74" s="58">
        <v>8902.1999787178702</v>
      </c>
      <c r="AD74" s="1">
        <f t="shared" si="1"/>
        <v>-4.3904521753103963E-2</v>
      </c>
    </row>
    <row r="75" spans="28:30" x14ac:dyDescent="0.3">
      <c r="AB75" s="150">
        <v>39478</v>
      </c>
      <c r="AC75" s="58">
        <v>9528.0315990649178</v>
      </c>
      <c r="AD75" s="1">
        <f t="shared" si="1"/>
        <v>6.7939713678074901E-2</v>
      </c>
    </row>
    <row r="76" spans="28:30" x14ac:dyDescent="0.3">
      <c r="AB76" s="150">
        <v>39507</v>
      </c>
      <c r="AC76" s="58">
        <v>11321.090553254313</v>
      </c>
      <c r="AD76" s="1">
        <f t="shared" si="1"/>
        <v>0.17242925827139424</v>
      </c>
    </row>
    <row r="77" spans="28:30" x14ac:dyDescent="0.3">
      <c r="AB77" s="150">
        <v>39538</v>
      </c>
      <c r="AC77" s="58">
        <v>11253.650350436639</v>
      </c>
      <c r="AD77" s="1">
        <f t="shared" si="1"/>
        <v>-5.9748551474994227E-3</v>
      </c>
    </row>
    <row r="78" spans="28:30" x14ac:dyDescent="0.3">
      <c r="AB78" s="150">
        <v>39568</v>
      </c>
      <c r="AC78" s="58">
        <v>11405.568401716353</v>
      </c>
      <c r="AD78" s="1">
        <f t="shared" si="1"/>
        <v>1.3409140821440539E-2</v>
      </c>
    </row>
    <row r="79" spans="28:30" x14ac:dyDescent="0.3">
      <c r="AB79" s="150">
        <v>39598</v>
      </c>
      <c r="AC79" s="58">
        <v>10617.946196238057</v>
      </c>
      <c r="AD79" s="1">
        <f t="shared" si="1"/>
        <v>-7.1556085508657122E-2</v>
      </c>
    </row>
    <row r="80" spans="28:30" x14ac:dyDescent="0.3">
      <c r="AB80" s="150">
        <v>39629</v>
      </c>
      <c r="AC80" s="58">
        <v>11377.121816125042</v>
      </c>
      <c r="AD80" s="1">
        <f t="shared" si="1"/>
        <v>6.9058873800802542E-2</v>
      </c>
    </row>
    <row r="81" spans="28:30" x14ac:dyDescent="0.3">
      <c r="AB81" s="150">
        <v>39660</v>
      </c>
      <c r="AC81" s="58">
        <v>10633.504157230524</v>
      </c>
      <c r="AD81" s="1">
        <f t="shared" si="1"/>
        <v>-6.7594694790603108E-2</v>
      </c>
    </row>
    <row r="82" spans="28:30" x14ac:dyDescent="0.3">
      <c r="AB82" s="150">
        <v>39689</v>
      </c>
      <c r="AC82" s="58">
        <v>9681.8182358589765</v>
      </c>
      <c r="AD82" s="1">
        <f t="shared" si="1"/>
        <v>-9.376006800417129E-2</v>
      </c>
    </row>
    <row r="83" spans="28:30" x14ac:dyDescent="0.3">
      <c r="AB83" s="150">
        <v>39721</v>
      </c>
      <c r="AC83" s="58">
        <v>8268.241647135148</v>
      </c>
      <c r="AD83" s="1">
        <f t="shared" si="1"/>
        <v>-0.15782784974607519</v>
      </c>
    </row>
    <row r="84" spans="28:30" x14ac:dyDescent="0.3">
      <c r="AB84" s="150">
        <v>39752</v>
      </c>
      <c r="AC84" s="58">
        <v>5190.5451047259148</v>
      </c>
      <c r="AD84" s="1">
        <f t="shared" si="1"/>
        <v>-0.46558314671184475</v>
      </c>
    </row>
    <row r="85" spans="28:30" x14ac:dyDescent="0.3">
      <c r="AB85" s="150">
        <v>39780</v>
      </c>
      <c r="AC85" s="58">
        <v>4736.5135512988318</v>
      </c>
      <c r="AD85" s="1">
        <f t="shared" si="1"/>
        <v>-9.1537394109124592E-2</v>
      </c>
    </row>
    <row r="86" spans="28:30" x14ac:dyDescent="0.3">
      <c r="AB86" s="150">
        <v>39813</v>
      </c>
      <c r="AC86" s="58">
        <v>3870.2805419161959</v>
      </c>
      <c r="AD86" s="1">
        <f t="shared" si="1"/>
        <v>-0.20197433150021762</v>
      </c>
    </row>
    <row r="87" spans="28:30" x14ac:dyDescent="0.3">
      <c r="AB87" s="150">
        <v>39843</v>
      </c>
      <c r="AC87" s="58">
        <v>4131.8902577701447</v>
      </c>
      <c r="AD87" s="1">
        <f t="shared" si="1"/>
        <v>6.5407995932232149E-2</v>
      </c>
    </row>
    <row r="88" spans="28:30" x14ac:dyDescent="0.3">
      <c r="AB88" s="150">
        <v>39871</v>
      </c>
      <c r="AC88" s="58">
        <v>4493.3258268493919</v>
      </c>
      <c r="AD88" s="1">
        <f t="shared" si="1"/>
        <v>8.385815443441845E-2</v>
      </c>
    </row>
    <row r="89" spans="28:30" x14ac:dyDescent="0.3">
      <c r="AB89" s="150">
        <v>39903</v>
      </c>
      <c r="AC89" s="58">
        <v>5353.5361067319227</v>
      </c>
      <c r="AD89" s="1">
        <f t="shared" si="1"/>
        <v>0.17516415087082604</v>
      </c>
    </row>
    <row r="90" spans="28:30" x14ac:dyDescent="0.3">
      <c r="AB90" s="150">
        <v>39933</v>
      </c>
      <c r="AC90" s="58">
        <v>5984.3612400039483</v>
      </c>
      <c r="AD90" s="1">
        <f t="shared" si="1"/>
        <v>0.1113923093948393</v>
      </c>
    </row>
    <row r="91" spans="28:30" x14ac:dyDescent="0.3">
      <c r="AB91" s="150">
        <v>39962</v>
      </c>
      <c r="AC91" s="58">
        <v>6320.9997465050565</v>
      </c>
      <c r="AD91" s="1">
        <f t="shared" si="1"/>
        <v>5.4727776888705323E-2</v>
      </c>
    </row>
    <row r="92" spans="28:30" x14ac:dyDescent="0.3">
      <c r="AB92" s="150">
        <v>39994</v>
      </c>
      <c r="AC92" s="58">
        <v>6704.7523813957823</v>
      </c>
      <c r="AD92" s="1">
        <f t="shared" si="1"/>
        <v>5.8939202224550187E-2</v>
      </c>
    </row>
    <row r="93" spans="28:30" x14ac:dyDescent="0.3">
      <c r="AB93" s="150">
        <v>40025</v>
      </c>
      <c r="AC93" s="58">
        <v>7549.6900701358945</v>
      </c>
      <c r="AD93" s="1">
        <f t="shared" si="1"/>
        <v>0.11868992649412254</v>
      </c>
    </row>
    <row r="94" spans="28:30" x14ac:dyDescent="0.3">
      <c r="AB94" s="150">
        <v>40056</v>
      </c>
      <c r="AC94" s="58">
        <v>8492.8643969458553</v>
      </c>
      <c r="AD94" s="1">
        <f t="shared" si="1"/>
        <v>0.11771981611585919</v>
      </c>
    </row>
    <row r="95" spans="28:30" x14ac:dyDescent="0.3">
      <c r="AB95" s="150">
        <v>40086</v>
      </c>
      <c r="AC95" s="58">
        <v>8014.1428419214217</v>
      </c>
      <c r="AD95" s="1">
        <f t="shared" si="1"/>
        <v>-5.8018492117878968E-2</v>
      </c>
    </row>
    <row r="96" spans="28:30" x14ac:dyDescent="0.3">
      <c r="AB96" s="150">
        <v>40116</v>
      </c>
      <c r="AC96" s="58">
        <v>8561.8125574456499</v>
      </c>
      <c r="AD96" s="1">
        <f t="shared" si="1"/>
        <v>6.6104079000287766E-2</v>
      </c>
    </row>
    <row r="97" spans="28:30" x14ac:dyDescent="0.3">
      <c r="AB97" s="150">
        <v>40147</v>
      </c>
      <c r="AC97" s="58">
        <v>8844.0687392397122</v>
      </c>
      <c r="AD97" s="1">
        <f t="shared" si="1"/>
        <v>3.2435120276671267E-2</v>
      </c>
    </row>
    <row r="98" spans="28:30" x14ac:dyDescent="0.3">
      <c r="AB98" s="150">
        <v>40178</v>
      </c>
      <c r="AC98" s="58">
        <v>9528.9091544856838</v>
      </c>
      <c r="AD98" s="1">
        <f t="shared" si="1"/>
        <v>7.4583211357246978E-2</v>
      </c>
    </row>
    <row r="99" spans="28:30" x14ac:dyDescent="0.3">
      <c r="AB99" s="150">
        <v>40207</v>
      </c>
      <c r="AC99" s="58">
        <v>8884.9443739424696</v>
      </c>
      <c r="AD99" s="1">
        <f t="shared" si="1"/>
        <v>-6.997204582090491E-2</v>
      </c>
    </row>
    <row r="100" spans="28:30" x14ac:dyDescent="0.3">
      <c r="AB100" s="150">
        <v>40235</v>
      </c>
      <c r="AC100" s="58">
        <v>9176.2748514596296</v>
      </c>
      <c r="AD100" s="1">
        <f t="shared" si="1"/>
        <v>3.2263131759670216E-2</v>
      </c>
    </row>
    <row r="101" spans="28:30" x14ac:dyDescent="0.3">
      <c r="AB101" s="150">
        <v>40268</v>
      </c>
      <c r="AC101" s="58">
        <v>10156.452360905991</v>
      </c>
      <c r="AD101" s="1">
        <f t="shared" si="1"/>
        <v>0.10148787142147245</v>
      </c>
    </row>
    <row r="102" spans="28:30" x14ac:dyDescent="0.3">
      <c r="AB102" s="150">
        <v>40298</v>
      </c>
      <c r="AC102" s="58">
        <v>9551.0942581289128</v>
      </c>
      <c r="AD102" s="1">
        <f t="shared" si="1"/>
        <v>-6.1453474165993699E-2</v>
      </c>
    </row>
    <row r="103" spans="28:30" x14ac:dyDescent="0.3">
      <c r="AB103" s="150">
        <v>40326</v>
      </c>
      <c r="AC103" s="58">
        <v>8986.4602972985413</v>
      </c>
      <c r="AD103" s="1">
        <f t="shared" si="1"/>
        <v>-6.0936696769788044E-2</v>
      </c>
    </row>
    <row r="104" spans="28:30" x14ac:dyDescent="0.3">
      <c r="AB104" s="150">
        <v>40359</v>
      </c>
      <c r="AC104" s="58">
        <v>8456.7309011551606</v>
      </c>
      <c r="AD104" s="1">
        <f t="shared" si="1"/>
        <v>-6.0756352525693835E-2</v>
      </c>
    </row>
    <row r="105" spans="28:30" x14ac:dyDescent="0.3">
      <c r="AB105" s="150">
        <v>40389</v>
      </c>
      <c r="AC105" s="58">
        <v>9321.9730015394871</v>
      </c>
      <c r="AD105" s="1">
        <f t="shared" si="1"/>
        <v>9.7411621101163928E-2</v>
      </c>
    </row>
    <row r="106" spans="28:30" x14ac:dyDescent="0.3">
      <c r="AB106" s="150">
        <v>40421</v>
      </c>
      <c r="AC106" s="58">
        <v>9516.0133694011183</v>
      </c>
      <c r="AD106" s="1">
        <f t="shared" si="1"/>
        <v>2.0601695641559736E-2</v>
      </c>
    </row>
    <row r="107" spans="28:30" x14ac:dyDescent="0.3">
      <c r="AB107" s="150">
        <v>40451</v>
      </c>
      <c r="AC107" s="58">
        <v>10402.233034016721</v>
      </c>
      <c r="AD107" s="1">
        <f t="shared" si="1"/>
        <v>8.9044500529809653E-2</v>
      </c>
    </row>
    <row r="108" spans="28:30" x14ac:dyDescent="0.3">
      <c r="AB108" s="150">
        <v>40480</v>
      </c>
      <c r="AC108" s="58">
        <v>10586.887597872486</v>
      </c>
      <c r="AD108" s="1">
        <f t="shared" si="1"/>
        <v>1.7595718401043701E-2</v>
      </c>
    </row>
    <row r="109" spans="28:30" x14ac:dyDescent="0.3">
      <c r="AB109" s="150">
        <v>40512</v>
      </c>
      <c r="AC109" s="58">
        <v>10752.715856824081</v>
      </c>
      <c r="AD109" s="1">
        <f t="shared" si="1"/>
        <v>1.5542144200461008E-2</v>
      </c>
    </row>
    <row r="110" spans="28:30" x14ac:dyDescent="0.3">
      <c r="AB110" s="150">
        <v>40543</v>
      </c>
      <c r="AC110" s="58">
        <v>12454.58132325193</v>
      </c>
      <c r="AD110" s="1">
        <f t="shared" si="1"/>
        <v>0.14693017248453424</v>
      </c>
    </row>
    <row r="111" spans="28:30" x14ac:dyDescent="0.3">
      <c r="AB111" s="150">
        <v>40574</v>
      </c>
      <c r="AC111" s="58">
        <v>12389.465746178572</v>
      </c>
      <c r="AD111" s="1">
        <f t="shared" si="1"/>
        <v>-5.2419580429715141E-3</v>
      </c>
    </row>
    <row r="112" spans="28:30" x14ac:dyDescent="0.3">
      <c r="AB112" s="150">
        <v>40602</v>
      </c>
      <c r="AC112" s="58">
        <v>12524.468663530091</v>
      </c>
      <c r="AD112" s="1">
        <f t="shared" si="1"/>
        <v>1.0837649045872377E-2</v>
      </c>
    </row>
    <row r="113" spans="28:30" x14ac:dyDescent="0.3">
      <c r="AB113" s="150">
        <v>40633</v>
      </c>
      <c r="AC113" s="58">
        <v>11881.088356213517</v>
      </c>
      <c r="AD113" s="1">
        <f t="shared" si="1"/>
        <v>-5.2736301783423582E-2</v>
      </c>
    </row>
    <row r="114" spans="28:30" x14ac:dyDescent="0.3">
      <c r="AB114" s="150">
        <v>40662</v>
      </c>
      <c r="AC114" s="58">
        <v>11789.092816375345</v>
      </c>
      <c r="AD114" s="1">
        <f t="shared" si="1"/>
        <v>-7.773155801337227E-3</v>
      </c>
    </row>
    <row r="115" spans="28:30" x14ac:dyDescent="0.3">
      <c r="AB115" s="150">
        <v>40694</v>
      </c>
      <c r="AC115" s="58">
        <v>11568.601187245891</v>
      </c>
      <c r="AD115" s="1">
        <f t="shared" si="1"/>
        <v>-1.8880132495034112E-2</v>
      </c>
    </row>
    <row r="116" spans="28:30" x14ac:dyDescent="0.3">
      <c r="AB116" s="150">
        <v>40724</v>
      </c>
      <c r="AC116" s="58">
        <v>11664.541128795494</v>
      </c>
      <c r="AD116" s="1">
        <f t="shared" si="1"/>
        <v>8.2589333446469425E-3</v>
      </c>
    </row>
    <row r="117" spans="28:30" x14ac:dyDescent="0.3">
      <c r="AB117" s="150">
        <v>40753</v>
      </c>
      <c r="AC117" s="58">
        <v>12171.920508440737</v>
      </c>
      <c r="AD117" s="1">
        <f t="shared" si="1"/>
        <v>4.2578134060858683E-2</v>
      </c>
    </row>
    <row r="118" spans="28:30" x14ac:dyDescent="0.3">
      <c r="AB118" s="150">
        <v>40786</v>
      </c>
      <c r="AC118" s="58">
        <v>11467.797409179766</v>
      </c>
      <c r="AD118" s="1">
        <f t="shared" si="1"/>
        <v>-5.958881920820263E-2</v>
      </c>
    </row>
    <row r="119" spans="28:30" x14ac:dyDescent="0.3">
      <c r="AB119" s="150">
        <v>40816</v>
      </c>
      <c r="AC119" s="58">
        <v>8873.0441687224447</v>
      </c>
      <c r="AD119" s="1">
        <f t="shared" si="1"/>
        <v>-0.25652494639510376</v>
      </c>
    </row>
    <row r="120" spans="28:30" x14ac:dyDescent="0.3">
      <c r="AB120" s="150">
        <v>40847</v>
      </c>
      <c r="AC120" s="58">
        <v>9823.2047034178613</v>
      </c>
      <c r="AD120" s="1">
        <f t="shared" si="1"/>
        <v>0.10172947795110146</v>
      </c>
    </row>
    <row r="121" spans="28:30" x14ac:dyDescent="0.3">
      <c r="AB121" s="150">
        <v>40877</v>
      </c>
      <c r="AC121" s="58">
        <v>9190.7559196017064</v>
      </c>
      <c r="AD121" s="1">
        <f t="shared" si="1"/>
        <v>-6.6549226105021661E-2</v>
      </c>
    </row>
    <row r="122" spans="28:30" x14ac:dyDescent="0.3">
      <c r="AB122" s="150">
        <v>40907</v>
      </c>
      <c r="AC122" s="58">
        <v>9372.8270553597122</v>
      </c>
      <c r="AD122" s="1">
        <f t="shared" si="1"/>
        <v>1.9616576663406538E-2</v>
      </c>
    </row>
    <row r="123" spans="28:30" x14ac:dyDescent="0.3">
      <c r="AB123" s="150">
        <v>40939</v>
      </c>
      <c r="AC123" s="58">
        <v>10500.00645842294</v>
      </c>
      <c r="AD123" s="1">
        <f t="shared" si="1"/>
        <v>0.11356110802165575</v>
      </c>
    </row>
    <row r="124" spans="28:30" x14ac:dyDescent="0.3">
      <c r="AB124" s="150">
        <v>40968</v>
      </c>
      <c r="AC124" s="58">
        <v>10600.470395788532</v>
      </c>
      <c r="AD124" s="1">
        <f t="shared" si="1"/>
        <v>9.5225048433880272E-3</v>
      </c>
    </row>
    <row r="125" spans="28:30" x14ac:dyDescent="0.3">
      <c r="AB125" s="150">
        <v>40998</v>
      </c>
      <c r="AC125" s="58">
        <v>10448.945355692791</v>
      </c>
      <c r="AD125" s="1">
        <f t="shared" si="1"/>
        <v>-1.4397326677025462E-2</v>
      </c>
    </row>
    <row r="126" spans="28:30" x14ac:dyDescent="0.3">
      <c r="AB126" s="150">
        <v>41029</v>
      </c>
      <c r="AC126" s="58">
        <v>10492.51276686723</v>
      </c>
      <c r="AD126" s="1">
        <f t="shared" si="1"/>
        <v>4.1608825685508898E-3</v>
      </c>
    </row>
    <row r="127" spans="28:30" x14ac:dyDescent="0.3">
      <c r="AB127" s="150">
        <v>41060</v>
      </c>
      <c r="AC127" s="58">
        <v>9266.1561039381231</v>
      </c>
      <c r="AD127" s="1">
        <f t="shared" si="1"/>
        <v>-0.1242932991728229</v>
      </c>
    </row>
    <row r="128" spans="28:30" x14ac:dyDescent="0.3">
      <c r="AB128" s="150">
        <v>41089</v>
      </c>
      <c r="AC128" s="58">
        <v>9381.7695231135458</v>
      </c>
      <c r="AD128" s="1">
        <f t="shared" si="1"/>
        <v>1.2399759932528657E-2</v>
      </c>
    </row>
    <row r="129" spans="28:30" x14ac:dyDescent="0.3">
      <c r="AB129" s="150">
        <v>41121</v>
      </c>
      <c r="AC129" s="58">
        <v>9350.0768756288544</v>
      </c>
      <c r="AD129" s="1">
        <f t="shared" si="1"/>
        <v>-3.3838284866205622E-3</v>
      </c>
    </row>
    <row r="130" spans="28:30" x14ac:dyDescent="0.3">
      <c r="AB130" s="150">
        <v>41152</v>
      </c>
      <c r="AC130" s="58">
        <v>9290.5530428239636</v>
      </c>
      <c r="AD130" s="1">
        <f t="shared" si="1"/>
        <v>-6.3864832232101302E-3</v>
      </c>
    </row>
    <row r="131" spans="28:30" x14ac:dyDescent="0.3">
      <c r="AB131" s="150">
        <v>41180</v>
      </c>
      <c r="AC131" s="58">
        <v>10089.73909702833</v>
      </c>
      <c r="AD131" s="1">
        <f t="shared" si="1"/>
        <v>8.2520894416272264E-2</v>
      </c>
    </row>
    <row r="132" spans="28:30" x14ac:dyDescent="0.3">
      <c r="AB132" s="150">
        <v>41213</v>
      </c>
      <c r="AC132" s="58">
        <v>9516.7206028371838</v>
      </c>
      <c r="AD132" s="1">
        <f t="shared" si="1"/>
        <v>-5.8468661485833483E-2</v>
      </c>
    </row>
    <row r="133" spans="28:30" x14ac:dyDescent="0.3">
      <c r="AB133" s="150">
        <v>41243</v>
      </c>
      <c r="AC133" s="58">
        <v>9691.2220896090366</v>
      </c>
      <c r="AD133" s="1">
        <f t="shared" ref="AD133:AD196" si="2">LN(AC133/AC132)</f>
        <v>1.8170221622676768E-2</v>
      </c>
    </row>
    <row r="134" spans="28:30" x14ac:dyDescent="0.3">
      <c r="AB134" s="150">
        <v>41274</v>
      </c>
      <c r="AC134" s="58">
        <v>9650.938690689858</v>
      </c>
      <c r="AD134" s="1">
        <f t="shared" si="2"/>
        <v>-4.1653523223538613E-3</v>
      </c>
    </row>
    <row r="135" spans="28:30" x14ac:dyDescent="0.3">
      <c r="AB135" s="150">
        <v>41305</v>
      </c>
      <c r="AC135" s="58">
        <v>9942.1726181483864</v>
      </c>
      <c r="AD135" s="1">
        <f t="shared" si="2"/>
        <v>2.9730385772456333E-2</v>
      </c>
    </row>
    <row r="136" spans="28:30" x14ac:dyDescent="0.3">
      <c r="AB136" s="150">
        <v>41333</v>
      </c>
      <c r="AC136" s="58">
        <v>9474.5425758896181</v>
      </c>
      <c r="AD136" s="1">
        <f t="shared" si="2"/>
        <v>-4.8177097187037145E-2</v>
      </c>
    </row>
    <row r="137" spans="28:30" x14ac:dyDescent="0.3">
      <c r="AB137" s="150">
        <v>41361</v>
      </c>
      <c r="AC137" s="58">
        <v>9203.2829599366269</v>
      </c>
      <c r="AD137" s="1">
        <f t="shared" si="2"/>
        <v>-2.9048208979278754E-2</v>
      </c>
    </row>
    <row r="138" spans="28:30" x14ac:dyDescent="0.3">
      <c r="AB138" s="150">
        <v>41394</v>
      </c>
      <c r="AC138" s="58">
        <v>8603.4464445182639</v>
      </c>
      <c r="AD138" s="1">
        <f t="shared" si="2"/>
        <v>-6.7397391529405909E-2</v>
      </c>
    </row>
    <row r="139" spans="28:30" x14ac:dyDescent="0.3">
      <c r="AB139" s="150">
        <v>41425</v>
      </c>
      <c r="AC139" s="58">
        <v>8803.5294424583753</v>
      </c>
      <c r="AD139" s="1">
        <f t="shared" si="2"/>
        <v>2.2989841739042859E-2</v>
      </c>
    </row>
    <row r="140" spans="28:30" x14ac:dyDescent="0.3">
      <c r="AB140" s="150">
        <v>41453</v>
      </c>
      <c r="AC140" s="58">
        <v>8187.6947944675085</v>
      </c>
      <c r="AD140" s="1">
        <f t="shared" si="2"/>
        <v>-7.2520321713474431E-2</v>
      </c>
    </row>
    <row r="141" spans="28:30" x14ac:dyDescent="0.3">
      <c r="AB141" s="150">
        <v>41486</v>
      </c>
      <c r="AC141" s="58">
        <v>8237.6731000429354</v>
      </c>
      <c r="AD141" s="1">
        <f t="shared" si="2"/>
        <v>6.0855209010695034E-3</v>
      </c>
    </row>
    <row r="142" spans="28:30" x14ac:dyDescent="0.3">
      <c r="AB142" s="150">
        <v>41516</v>
      </c>
      <c r="AC142" s="58">
        <v>8568.2725438626549</v>
      </c>
      <c r="AD142" s="1">
        <f t="shared" si="2"/>
        <v>3.9348228877205405E-2</v>
      </c>
    </row>
    <row r="143" spans="28:30" x14ac:dyDescent="0.3">
      <c r="AB143" s="150">
        <v>41547</v>
      </c>
      <c r="AC143" s="58">
        <v>8801.0504936971174</v>
      </c>
      <c r="AD143" s="1">
        <f t="shared" si="2"/>
        <v>2.6804946496065834E-2</v>
      </c>
    </row>
    <row r="144" spans="28:30" x14ac:dyDescent="0.3">
      <c r="AB144" s="150">
        <v>41578</v>
      </c>
      <c r="AC144" s="58">
        <v>8728.1724233852146</v>
      </c>
      <c r="AD144" s="1">
        <f t="shared" si="2"/>
        <v>-8.3150851077871107E-3</v>
      </c>
    </row>
    <row r="145" spans="28:30" x14ac:dyDescent="0.3">
      <c r="AB145" s="150">
        <v>41607</v>
      </c>
      <c r="AC145" s="58">
        <v>8462.8073088423753</v>
      </c>
      <c r="AD145" s="1">
        <f t="shared" si="2"/>
        <v>-3.0875051765422459E-2</v>
      </c>
    </row>
    <row r="146" spans="28:30" x14ac:dyDescent="0.3">
      <c r="AB146" s="150">
        <v>41639</v>
      </c>
      <c r="AC146" s="58">
        <v>8881.9122802159181</v>
      </c>
      <c r="AD146" s="1">
        <f t="shared" si="2"/>
        <v>4.8335928921259853E-2</v>
      </c>
    </row>
    <row r="147" spans="28:30" x14ac:dyDescent="0.3">
      <c r="AB147" s="150">
        <v>41670</v>
      </c>
      <c r="AC147" s="58">
        <v>8496.7652536465939</v>
      </c>
      <c r="AD147" s="1">
        <f t="shared" si="2"/>
        <v>-4.4331348020401562E-2</v>
      </c>
    </row>
    <row r="148" spans="28:30" x14ac:dyDescent="0.3">
      <c r="AB148" s="150">
        <v>41698</v>
      </c>
      <c r="AC148" s="58">
        <v>8495.2025179688135</v>
      </c>
      <c r="AD148" s="1">
        <f t="shared" si="2"/>
        <v>-1.8393816457173395E-4</v>
      </c>
    </row>
    <row r="149" spans="28:30" x14ac:dyDescent="0.3">
      <c r="AB149" s="150">
        <v>41729</v>
      </c>
      <c r="AC149" s="58">
        <v>7926.6332299557689</v>
      </c>
      <c r="AD149" s="1">
        <f t="shared" si="2"/>
        <v>-6.9273210177039829E-2</v>
      </c>
    </row>
    <row r="150" spans="28:30" x14ac:dyDescent="0.3">
      <c r="AB150" s="150">
        <v>41759</v>
      </c>
      <c r="AC150" s="58">
        <v>8016.8035082971055</v>
      </c>
      <c r="AD150" s="1">
        <f t="shared" si="2"/>
        <v>1.1311393050608085E-2</v>
      </c>
    </row>
    <row r="151" spans="28:30" x14ac:dyDescent="0.3">
      <c r="AB151" s="150">
        <v>41789</v>
      </c>
      <c r="AC151" s="58">
        <v>8324.6621257143815</v>
      </c>
      <c r="AD151" s="1">
        <f t="shared" si="2"/>
        <v>3.7682672163093497E-2</v>
      </c>
    </row>
    <row r="152" spans="28:30" x14ac:dyDescent="0.3">
      <c r="AB152" s="150">
        <v>41820</v>
      </c>
      <c r="AC152" s="58">
        <v>8265.5471460306617</v>
      </c>
      <c r="AD152" s="1">
        <f t="shared" si="2"/>
        <v>-7.1265200945936757E-3</v>
      </c>
    </row>
    <row r="153" spans="28:30" x14ac:dyDescent="0.3">
      <c r="AB153" s="150">
        <v>41851</v>
      </c>
      <c r="AC153" s="58">
        <v>8470.5257370588388</v>
      </c>
      <c r="AD153" s="1">
        <f t="shared" si="2"/>
        <v>2.4496647780151832E-2</v>
      </c>
    </row>
    <row r="154" spans="28:30" x14ac:dyDescent="0.3">
      <c r="AB154" s="150">
        <v>41880</v>
      </c>
      <c r="AC154" s="58">
        <v>8305.0675271624696</v>
      </c>
      <c r="AD154" s="1">
        <f t="shared" si="2"/>
        <v>-1.9726703291903444E-2</v>
      </c>
    </row>
    <row r="155" spans="28:30" x14ac:dyDescent="0.3">
      <c r="AB155" s="150">
        <v>41912</v>
      </c>
      <c r="AC155" s="58">
        <v>7996.9878682988237</v>
      </c>
      <c r="AD155" s="1">
        <f t="shared" si="2"/>
        <v>-3.7800919619706108E-2</v>
      </c>
    </row>
    <row r="156" spans="28:30" x14ac:dyDescent="0.3">
      <c r="AB156" s="150">
        <v>41943</v>
      </c>
      <c r="AC156" s="58">
        <v>8116.7208082382176</v>
      </c>
      <c r="AD156" s="1">
        <f t="shared" si="2"/>
        <v>1.4861276940666491E-2</v>
      </c>
    </row>
    <row r="157" spans="28:30" x14ac:dyDescent="0.3">
      <c r="AB157" s="150">
        <v>41971</v>
      </c>
      <c r="AC157" s="58">
        <v>7751.3343214492179</v>
      </c>
      <c r="AD157" s="1">
        <f t="shared" si="2"/>
        <v>-4.6061232202543941E-2</v>
      </c>
    </row>
    <row r="158" spans="28:30" x14ac:dyDescent="0.3">
      <c r="AB158" s="150">
        <v>42004</v>
      </c>
      <c r="AC158" s="58">
        <v>7588.5577561248156</v>
      </c>
      <c r="AD158" s="1">
        <f t="shared" si="2"/>
        <v>-2.1223444659428766E-2</v>
      </c>
    </row>
    <row r="159" spans="28:30" x14ac:dyDescent="0.3">
      <c r="AB159" s="150">
        <v>42034</v>
      </c>
      <c r="AC159" s="58">
        <v>6611.5484542933455</v>
      </c>
      <c r="AD159" s="1">
        <f t="shared" si="2"/>
        <v>-0.13782366861814013</v>
      </c>
    </row>
    <row r="160" spans="28:30" x14ac:dyDescent="0.3">
      <c r="AB160" s="150">
        <v>42062</v>
      </c>
      <c r="AC160" s="58">
        <v>7044.671187038437</v>
      </c>
      <c r="AD160" s="1">
        <f t="shared" si="2"/>
        <v>6.3453585245813099E-2</v>
      </c>
    </row>
    <row r="161" spans="28:30" x14ac:dyDescent="0.3">
      <c r="AB161" s="150">
        <v>42094</v>
      </c>
      <c r="AC161" s="58">
        <v>7228.8521565752444</v>
      </c>
      <c r="AD161" s="1">
        <f t="shared" si="2"/>
        <v>2.580879135043402E-2</v>
      </c>
    </row>
    <row r="162" spans="28:30" x14ac:dyDescent="0.3">
      <c r="AB162" s="150">
        <v>42124</v>
      </c>
      <c r="AC162" s="58">
        <v>7453.4615107822301</v>
      </c>
      <c r="AD162" s="1">
        <f t="shared" si="2"/>
        <v>3.0598294429189283E-2</v>
      </c>
    </row>
    <row r="163" spans="28:30" x14ac:dyDescent="0.3">
      <c r="AB163" s="150">
        <v>42153</v>
      </c>
      <c r="AC163" s="58">
        <v>7242.7925219724812</v>
      </c>
      <c r="AD163" s="1">
        <f t="shared" si="2"/>
        <v>-2.8671717316669058E-2</v>
      </c>
    </row>
    <row r="164" spans="28:30" x14ac:dyDescent="0.3">
      <c r="AB164" s="150">
        <v>42185</v>
      </c>
      <c r="AC164" s="58">
        <v>6786.8343579191851</v>
      </c>
      <c r="AD164" s="1">
        <f t="shared" si="2"/>
        <v>-6.5022227850248873E-2</v>
      </c>
    </row>
    <row r="165" spans="28:30" x14ac:dyDescent="0.3">
      <c r="AB165" s="150">
        <v>42216</v>
      </c>
      <c r="AC165" s="58">
        <v>6182.6892796827342</v>
      </c>
      <c r="AD165" s="1">
        <f t="shared" si="2"/>
        <v>-9.3231276295838619E-2</v>
      </c>
    </row>
    <row r="166" spans="28:30" x14ac:dyDescent="0.3">
      <c r="AB166" s="150">
        <v>42247</v>
      </c>
      <c r="AC166" s="58">
        <v>6034.661727575588</v>
      </c>
      <c r="AD166" s="1">
        <f t="shared" si="2"/>
        <v>-2.4233534130516769E-2</v>
      </c>
    </row>
    <row r="167" spans="28:30" x14ac:dyDescent="0.3">
      <c r="AB167" s="150">
        <v>42277</v>
      </c>
      <c r="AC167" s="58">
        <v>6045.8815190022651</v>
      </c>
      <c r="AD167" s="1">
        <f t="shared" si="2"/>
        <v>1.8574983630519357E-3</v>
      </c>
    </row>
    <row r="168" spans="28:30" x14ac:dyDescent="0.3">
      <c r="AB168" s="150">
        <v>42307</v>
      </c>
      <c r="AC168" s="58">
        <v>6090.3068631616134</v>
      </c>
      <c r="AD168" s="1">
        <f t="shared" si="2"/>
        <v>7.3211689192082827E-3</v>
      </c>
    </row>
    <row r="169" spans="28:30" x14ac:dyDescent="0.3">
      <c r="AB169" s="150">
        <v>42338</v>
      </c>
      <c r="AC169" s="58">
        <v>5443.4057294226877</v>
      </c>
      <c r="AD169" s="1">
        <f t="shared" si="2"/>
        <v>-0.112293550311046</v>
      </c>
    </row>
    <row r="170" spans="28:30" x14ac:dyDescent="0.3">
      <c r="AB170" s="150">
        <v>42369</v>
      </c>
      <c r="AC170" s="58">
        <v>5575.5526179650988</v>
      </c>
      <c r="AD170" s="1">
        <f t="shared" si="2"/>
        <v>2.398651855136736E-2</v>
      </c>
    </row>
    <row r="171" spans="28:30" x14ac:dyDescent="0.3">
      <c r="AB171" s="150">
        <v>42398</v>
      </c>
      <c r="AC171" s="58">
        <v>5387.7043723595852</v>
      </c>
      <c r="AD171" s="1">
        <f t="shared" si="2"/>
        <v>-3.4272047477294044E-2</v>
      </c>
    </row>
    <row r="172" spans="28:30" x14ac:dyDescent="0.3">
      <c r="AB172" s="150">
        <v>42429</v>
      </c>
      <c r="AC172" s="58">
        <v>5589.1005367917214</v>
      </c>
      <c r="AD172" s="1">
        <f t="shared" si="2"/>
        <v>3.6698979203447515E-2</v>
      </c>
    </row>
    <row r="173" spans="28:30" x14ac:dyDescent="0.3">
      <c r="AB173" s="150">
        <v>42460</v>
      </c>
      <c r="AC173" s="58">
        <v>5749.8558530745968</v>
      </c>
      <c r="AD173" s="1">
        <f t="shared" si="2"/>
        <v>2.8356417006001035E-2</v>
      </c>
    </row>
    <row r="174" spans="28:30" x14ac:dyDescent="0.3">
      <c r="AB174" s="150">
        <v>42489</v>
      </c>
      <c r="AC174" s="58">
        <v>5951.4627477070362</v>
      </c>
      <c r="AD174" s="1">
        <f t="shared" si="2"/>
        <v>3.4462243830090993E-2</v>
      </c>
    </row>
    <row r="175" spans="28:30" x14ac:dyDescent="0.3">
      <c r="AB175" s="150">
        <v>42521</v>
      </c>
      <c r="AC175" s="58">
        <v>5531.3979553926629</v>
      </c>
      <c r="AD175" s="1">
        <f t="shared" si="2"/>
        <v>-7.3196450880713707E-2</v>
      </c>
    </row>
    <row r="176" spans="28:30" x14ac:dyDescent="0.3">
      <c r="AB176" s="150">
        <v>42551</v>
      </c>
      <c r="AC176" s="58">
        <v>5665.1372105802138</v>
      </c>
      <c r="AD176" s="1">
        <f t="shared" si="2"/>
        <v>2.3890536528307926E-2</v>
      </c>
    </row>
    <row r="177" spans="28:30" x14ac:dyDescent="0.3">
      <c r="AB177" s="150">
        <v>42580</v>
      </c>
      <c r="AC177" s="58">
        <v>5698.5220761262972</v>
      </c>
      <c r="AD177" s="1">
        <f t="shared" si="2"/>
        <v>5.8757413880363967E-3</v>
      </c>
    </row>
    <row r="178" spans="28:30" x14ac:dyDescent="0.3">
      <c r="AB178" s="150">
        <v>42613</v>
      </c>
      <c r="AC178" s="58">
        <v>5394.4028456214019</v>
      </c>
      <c r="AD178" s="1">
        <f t="shared" si="2"/>
        <v>-5.484495037816868E-2</v>
      </c>
    </row>
    <row r="179" spans="28:30" x14ac:dyDescent="0.3">
      <c r="AB179" s="150">
        <v>42643</v>
      </c>
      <c r="AC179" s="58">
        <v>5648.5730586791387</v>
      </c>
      <c r="AD179" s="1">
        <f t="shared" si="2"/>
        <v>4.6041051322648775E-2</v>
      </c>
    </row>
    <row r="180" spans="28:30" x14ac:dyDescent="0.3">
      <c r="AB180" s="150">
        <v>42674</v>
      </c>
      <c r="AC180" s="58">
        <v>5630.1229725201756</v>
      </c>
      <c r="AD180" s="1">
        <f t="shared" si="2"/>
        <v>-3.2716729957364969E-3</v>
      </c>
    </row>
    <row r="181" spans="28:30" x14ac:dyDescent="0.3">
      <c r="AB181" s="150">
        <v>42704</v>
      </c>
      <c r="AC181" s="58">
        <v>6686.4527778007314</v>
      </c>
      <c r="AD181" s="1">
        <f t="shared" si="2"/>
        <v>0.17195222170729998</v>
      </c>
    </row>
    <row r="182" spans="28:30" x14ac:dyDescent="0.3">
      <c r="AB182" s="150">
        <v>42734</v>
      </c>
      <c r="AC182" s="58">
        <v>6391.9082126798467</v>
      </c>
      <c r="AD182" s="1">
        <f t="shared" si="2"/>
        <v>-4.5050657343836321E-2</v>
      </c>
    </row>
    <row r="183" spans="28:30" x14ac:dyDescent="0.3">
      <c r="AB183" s="150">
        <v>42766</v>
      </c>
      <c r="AC183" s="58">
        <v>6852.2247658219012</v>
      </c>
      <c r="AD183" s="1">
        <f t="shared" si="2"/>
        <v>6.9540534232659393E-2</v>
      </c>
    </row>
    <row r="184" spans="28:30" x14ac:dyDescent="0.3">
      <c r="AB184" s="150">
        <v>42794</v>
      </c>
      <c r="AC184" s="58">
        <v>6858.6603935968778</v>
      </c>
      <c r="AD184" s="1">
        <f t="shared" si="2"/>
        <v>9.3876189214293015E-4</v>
      </c>
    </row>
    <row r="185" spans="28:30" x14ac:dyDescent="0.3">
      <c r="AB185" s="150">
        <v>42825</v>
      </c>
      <c r="AC185" s="58">
        <v>6761.2964631886243</v>
      </c>
      <c r="AD185" s="1">
        <f t="shared" si="2"/>
        <v>-1.4297488605316086E-2</v>
      </c>
    </row>
    <row r="186" spans="28:30" x14ac:dyDescent="0.3">
      <c r="AB186" s="150">
        <v>42853</v>
      </c>
      <c r="AC186" s="58">
        <v>6567.6570192429754</v>
      </c>
      <c r="AD186" s="1">
        <f t="shared" si="2"/>
        <v>-2.9057505344415327E-2</v>
      </c>
    </row>
    <row r="187" spans="28:30" x14ac:dyDescent="0.3">
      <c r="AB187" s="150">
        <v>42886</v>
      </c>
      <c r="AC187" s="58">
        <v>6488.396753741742</v>
      </c>
      <c r="AD187" s="1">
        <f t="shared" si="2"/>
        <v>-1.214168394104468E-2</v>
      </c>
    </row>
    <row r="188" spans="28:30" x14ac:dyDescent="0.3">
      <c r="AB188" s="150">
        <v>42916</v>
      </c>
      <c r="AC188" s="58">
        <v>6821.3414706568974</v>
      </c>
      <c r="AD188" s="1">
        <f t="shared" si="2"/>
        <v>5.004068221391697E-2</v>
      </c>
    </row>
    <row r="189" spans="28:30" x14ac:dyDescent="0.3">
      <c r="AB189" s="150">
        <v>42947</v>
      </c>
      <c r="AC189" s="58">
        <v>7326.427987700773</v>
      </c>
      <c r="AD189" s="1">
        <f t="shared" si="2"/>
        <v>7.1431933939401629E-2</v>
      </c>
    </row>
    <row r="190" spans="28:30" x14ac:dyDescent="0.3">
      <c r="AB190" s="150">
        <v>42978</v>
      </c>
      <c r="AC190" s="58">
        <v>7810.0395867576462</v>
      </c>
      <c r="AD190" s="1">
        <f t="shared" si="2"/>
        <v>6.3921949535925351E-2</v>
      </c>
    </row>
    <row r="191" spans="28:30" x14ac:dyDescent="0.3">
      <c r="AB191" s="150">
        <v>43007</v>
      </c>
      <c r="AC191" s="58">
        <v>7419.1389413029801</v>
      </c>
      <c r="AD191" s="1">
        <f t="shared" si="2"/>
        <v>-5.1347027766746559E-2</v>
      </c>
    </row>
    <row r="192" spans="28:30" x14ac:dyDescent="0.3">
      <c r="AB192" s="150">
        <v>43039</v>
      </c>
      <c r="AC192" s="58">
        <v>7775.7749223520632</v>
      </c>
      <c r="AD192" s="1">
        <f t="shared" si="2"/>
        <v>4.6950116769471285E-2</v>
      </c>
    </row>
    <row r="193" spans="28:30" x14ac:dyDescent="0.3">
      <c r="AB193" s="150">
        <v>43069</v>
      </c>
      <c r="AC193" s="58">
        <v>7708.3394518044024</v>
      </c>
      <c r="AD193" s="1">
        <f t="shared" si="2"/>
        <v>-8.7103330907823285E-3</v>
      </c>
    </row>
    <row r="194" spans="28:30" x14ac:dyDescent="0.3">
      <c r="AB194" s="150">
        <v>43098</v>
      </c>
      <c r="AC194" s="58">
        <v>8142.6705716188126</v>
      </c>
      <c r="AD194" s="1">
        <f t="shared" si="2"/>
        <v>5.481541778174593E-2</v>
      </c>
    </row>
    <row r="195" spans="28:30" x14ac:dyDescent="0.3">
      <c r="AB195" s="150">
        <v>43131</v>
      </c>
      <c r="AC195" s="58">
        <v>8047.9260381196664</v>
      </c>
      <c r="AD195" s="1">
        <f t="shared" si="2"/>
        <v>-1.1703783038728913E-2</v>
      </c>
    </row>
    <row r="196" spans="28:30" x14ac:dyDescent="0.3">
      <c r="AB196" s="150">
        <v>43159</v>
      </c>
      <c r="AC196" s="58">
        <v>7858.7556436643827</v>
      </c>
      <c r="AD196" s="1">
        <f t="shared" si="2"/>
        <v>-2.3786144368137443E-2</v>
      </c>
    </row>
    <row r="197" spans="28:30" x14ac:dyDescent="0.3">
      <c r="AB197" s="150">
        <v>43188</v>
      </c>
      <c r="AC197" s="58">
        <v>7551.5448091000526</v>
      </c>
      <c r="AD197" s="1">
        <f t="shared" ref="AD197:AD243" si="3">LN(AC197/AC196)</f>
        <v>-3.9876126044649136E-2</v>
      </c>
    </row>
    <row r="198" spans="28:30" x14ac:dyDescent="0.3">
      <c r="AB198" s="150">
        <v>43220</v>
      </c>
      <c r="AC198" s="58">
        <v>7644.941510158068</v>
      </c>
      <c r="AD198" s="1">
        <f t="shared" si="3"/>
        <v>1.2292035812416275E-2</v>
      </c>
    </row>
    <row r="199" spans="28:30" x14ac:dyDescent="0.3">
      <c r="AB199" s="150">
        <v>43251</v>
      </c>
      <c r="AC199" s="58">
        <v>7672.8622611941191</v>
      </c>
      <c r="AD199" s="1">
        <f t="shared" si="3"/>
        <v>3.6455333120655321E-3</v>
      </c>
    </row>
    <row r="200" spans="28:30" x14ac:dyDescent="0.3">
      <c r="AB200" s="150">
        <v>43280</v>
      </c>
      <c r="AC200" s="58">
        <v>7461.5388701725878</v>
      </c>
      <c r="AD200" s="1">
        <f t="shared" si="3"/>
        <v>-2.7928046125131698E-2</v>
      </c>
    </row>
    <row r="201" spans="28:30" x14ac:dyDescent="0.3">
      <c r="AB201" s="150">
        <v>43312</v>
      </c>
      <c r="AC201" s="58">
        <v>6969.7151832502395</v>
      </c>
      <c r="AD201" s="1">
        <f t="shared" si="3"/>
        <v>-6.8187315104994928E-2</v>
      </c>
    </row>
    <row r="202" spans="28:30" x14ac:dyDescent="0.3">
      <c r="AB202" s="150">
        <v>43343</v>
      </c>
      <c r="AC202" s="58">
        <v>6740.6612419513085</v>
      </c>
      <c r="AD202" s="1">
        <f t="shared" si="3"/>
        <v>-3.34163334757831E-2</v>
      </c>
    </row>
    <row r="203" spans="28:30" x14ac:dyDescent="0.3">
      <c r="AB203" s="150">
        <v>43371</v>
      </c>
      <c r="AC203" s="58">
        <v>6907.5200107834235</v>
      </c>
      <c r="AD203" s="1">
        <f t="shared" si="3"/>
        <v>2.4452647549438464E-2</v>
      </c>
    </row>
    <row r="204" spans="28:30" x14ac:dyDescent="0.3">
      <c r="AB204" s="150">
        <v>43404</v>
      </c>
      <c r="AC204" s="58">
        <v>6771.1997413609006</v>
      </c>
      <c r="AD204" s="1">
        <f t="shared" si="3"/>
        <v>-1.9932389171107224E-2</v>
      </c>
    </row>
    <row r="205" spans="28:30" x14ac:dyDescent="0.3">
      <c r="AB205" s="150">
        <v>43434</v>
      </c>
      <c r="AC205" s="58">
        <v>6960.8126986388652</v>
      </c>
      <c r="AD205" s="1">
        <f t="shared" si="3"/>
        <v>2.7617948970605214E-2</v>
      </c>
    </row>
    <row r="206" spans="28:30" x14ac:dyDescent="0.3">
      <c r="AB206" s="150">
        <v>43465</v>
      </c>
      <c r="AC206" s="58">
        <v>6658.9732172907652</v>
      </c>
      <c r="AD206" s="1">
        <f t="shared" si="3"/>
        <v>-4.4330933486726114E-2</v>
      </c>
    </row>
    <row r="207" spans="28:30" x14ac:dyDescent="0.3">
      <c r="AB207" s="150">
        <v>43496</v>
      </c>
      <c r="AC207" s="58">
        <v>6865.465536499386</v>
      </c>
      <c r="AD207" s="1">
        <f t="shared" si="3"/>
        <v>3.0538548869114581E-2</v>
      </c>
    </row>
    <row r="208" spans="28:30" x14ac:dyDescent="0.3">
      <c r="AB208" s="150">
        <v>43524</v>
      </c>
      <c r="AC208" s="58">
        <v>7279.5705374602485</v>
      </c>
      <c r="AD208" s="1">
        <f t="shared" si="3"/>
        <v>5.8568018403593256E-2</v>
      </c>
    </row>
    <row r="209" spans="28:30" x14ac:dyDescent="0.3">
      <c r="AB209" s="150">
        <v>43553</v>
      </c>
      <c r="AC209" s="58">
        <v>7190.4429687776519</v>
      </c>
      <c r="AD209" s="1">
        <f t="shared" si="3"/>
        <v>-1.2319089516775662E-2</v>
      </c>
    </row>
    <row r="210" spans="28:30" x14ac:dyDescent="0.3">
      <c r="AB210" s="150">
        <v>43585</v>
      </c>
      <c r="AC210" s="58">
        <v>7117.8516712846294</v>
      </c>
      <c r="AD210" s="1">
        <f t="shared" si="3"/>
        <v>-1.0146830511996878E-2</v>
      </c>
    </row>
    <row r="211" spans="28:30" x14ac:dyDescent="0.3">
      <c r="AB211" s="150">
        <v>43616</v>
      </c>
      <c r="AC211" s="58">
        <v>6382.8990756878484</v>
      </c>
      <c r="AD211" s="1">
        <f t="shared" si="3"/>
        <v>-0.10898355360655779</v>
      </c>
    </row>
    <row r="212" spans="28:30" x14ac:dyDescent="0.3">
      <c r="AB212" s="150">
        <v>43644</v>
      </c>
      <c r="AC212" s="58">
        <v>6593.4260752424998</v>
      </c>
      <c r="AD212" s="1">
        <f t="shared" si="3"/>
        <v>3.2450708713990827E-2</v>
      </c>
    </row>
    <row r="213" spans="28:30" x14ac:dyDescent="0.3">
      <c r="AB213" s="150">
        <v>43677</v>
      </c>
      <c r="AC213" s="58">
        <v>6528.8587651426342</v>
      </c>
      <c r="AD213" s="1">
        <f t="shared" si="3"/>
        <v>-9.8409433974370238E-3</v>
      </c>
    </row>
    <row r="214" spans="28:30" x14ac:dyDescent="0.3">
      <c r="AB214" s="150">
        <v>43707</v>
      </c>
      <c r="AC214" s="58">
        <v>6248.816546243057</v>
      </c>
      <c r="AD214" s="1">
        <f t="shared" si="3"/>
        <v>-4.3840066824874388E-2</v>
      </c>
    </row>
    <row r="215" spans="28:30" x14ac:dyDescent="0.3">
      <c r="AB215" s="150">
        <v>43738</v>
      </c>
      <c r="AC215" s="58">
        <v>6293.5985907808381</v>
      </c>
      <c r="AD215" s="1">
        <f t="shared" si="3"/>
        <v>7.1409269020899615E-3</v>
      </c>
    </row>
    <row r="216" spans="28:30" x14ac:dyDescent="0.3">
      <c r="AB216" s="150">
        <v>43769</v>
      </c>
      <c r="AC216" s="58">
        <v>6382.5410505042646</v>
      </c>
      <c r="AD216" s="1">
        <f t="shared" si="3"/>
        <v>1.4033281721044002E-2</v>
      </c>
    </row>
    <row r="217" spans="28:30" x14ac:dyDescent="0.3">
      <c r="AB217" s="150">
        <v>43798</v>
      </c>
      <c r="AC217" s="58">
        <v>6402.2987183266869</v>
      </c>
      <c r="AD217" s="1">
        <f t="shared" si="3"/>
        <v>3.0907987754995739E-3</v>
      </c>
    </row>
    <row r="218" spans="28:30" x14ac:dyDescent="0.3">
      <c r="AB218" s="150">
        <v>43830</v>
      </c>
      <c r="AC218" s="58">
        <v>6720.2020730805425</v>
      </c>
      <c r="AD218" s="1">
        <f t="shared" si="3"/>
        <v>4.8461123865477414E-2</v>
      </c>
    </row>
    <row r="219" spans="28:30" x14ac:dyDescent="0.3">
      <c r="AB219" s="150">
        <v>43861</v>
      </c>
      <c r="AC219" s="58">
        <v>6070.6458508902815</v>
      </c>
      <c r="AD219" s="1">
        <f t="shared" si="3"/>
        <v>-0.1016532245944069</v>
      </c>
    </row>
    <row r="220" spans="28:30" x14ac:dyDescent="0.3">
      <c r="AB220" s="150">
        <v>43889</v>
      </c>
      <c r="AC220" s="58">
        <v>6066.2939959151681</v>
      </c>
      <c r="AD220" s="1">
        <f t="shared" si="3"/>
        <v>-7.1712560440193973E-4</v>
      </c>
    </row>
    <row r="221" spans="28:30" x14ac:dyDescent="0.3">
      <c r="AB221" s="150">
        <v>43921</v>
      </c>
      <c r="AC221" s="58">
        <v>5238.6365347742712</v>
      </c>
      <c r="AD221" s="1">
        <f t="shared" si="3"/>
        <v>-0.14668661309618514</v>
      </c>
    </row>
    <row r="222" spans="28:30" x14ac:dyDescent="0.3">
      <c r="AB222" s="150">
        <v>43951</v>
      </c>
      <c r="AC222" s="58">
        <v>5758.7898310776509</v>
      </c>
      <c r="AD222" s="1">
        <f t="shared" si="3"/>
        <v>9.4666092675871075E-2</v>
      </c>
    </row>
    <row r="223" spans="28:30" x14ac:dyDescent="0.3">
      <c r="AB223" s="150">
        <v>43980</v>
      </c>
      <c r="AC223" s="58">
        <v>5873.9713472478352</v>
      </c>
      <c r="AD223" s="1">
        <f t="shared" si="3"/>
        <v>1.9803601007333124E-2</v>
      </c>
    </row>
    <row r="224" spans="28:30" x14ac:dyDescent="0.3">
      <c r="AB224" s="150">
        <v>44012</v>
      </c>
      <c r="AC224" s="58">
        <v>6618.1918535711093</v>
      </c>
      <c r="AD224" s="1">
        <f t="shared" si="3"/>
        <v>0.11929124386936094</v>
      </c>
    </row>
    <row r="225" spans="28:30" x14ac:dyDescent="0.3">
      <c r="AB225" s="150">
        <v>44043</v>
      </c>
      <c r="AC225" s="58">
        <v>7029.70525019049</v>
      </c>
      <c r="AD225" s="1">
        <f t="shared" si="3"/>
        <v>6.0322578777507511E-2</v>
      </c>
    </row>
    <row r="226" spans="28:30" x14ac:dyDescent="0.3">
      <c r="AB226" s="150">
        <v>44074</v>
      </c>
      <c r="AC226" s="58">
        <v>7307.3627552199705</v>
      </c>
      <c r="AD226" s="1">
        <f t="shared" si="3"/>
        <v>3.8737658951088563E-2</v>
      </c>
    </row>
    <row r="227" spans="28:30" x14ac:dyDescent="0.3">
      <c r="AB227" s="150">
        <v>44104</v>
      </c>
      <c r="AC227" s="58">
        <v>7162.3703063146158</v>
      </c>
      <c r="AD227" s="1">
        <f t="shared" si="3"/>
        <v>-2.0041461911913232E-2</v>
      </c>
    </row>
    <row r="228" spans="28:30" x14ac:dyDescent="0.3">
      <c r="AB228" s="150">
        <v>44134</v>
      </c>
      <c r="AC228" s="58">
        <v>7249.4179745114307</v>
      </c>
      <c r="AD228" s="1">
        <f t="shared" si="3"/>
        <v>1.2080211710191014E-2</v>
      </c>
    </row>
    <row r="229" spans="28:30" x14ac:dyDescent="0.3">
      <c r="AB229" s="150">
        <v>44165</v>
      </c>
      <c r="AC229" s="58">
        <v>8298.8896502391435</v>
      </c>
      <c r="AD229" s="1">
        <f t="shared" si="3"/>
        <v>0.13520054250769126</v>
      </c>
    </row>
    <row r="230" spans="28:30" x14ac:dyDescent="0.3">
      <c r="AB230" s="150">
        <v>44196</v>
      </c>
      <c r="AC230" s="58">
        <v>8344.3605370005043</v>
      </c>
      <c r="AD230" s="1">
        <f t="shared" si="3"/>
        <v>5.4641971233754302E-3</v>
      </c>
    </row>
    <row r="231" spans="28:30" x14ac:dyDescent="0.3">
      <c r="AB231" s="150">
        <v>44225</v>
      </c>
      <c r="AC231" s="58">
        <v>8469.8178527841337</v>
      </c>
      <c r="AD231" s="1">
        <f t="shared" si="3"/>
        <v>1.492307755120917E-2</v>
      </c>
    </row>
    <row r="232" spans="28:30" x14ac:dyDescent="0.3">
      <c r="AB232" s="150">
        <v>44253</v>
      </c>
      <c r="AC232" s="58">
        <v>9819.8964195393146</v>
      </c>
      <c r="AD232" s="1">
        <f t="shared" si="3"/>
        <v>0.14790157095376089</v>
      </c>
    </row>
    <row r="233" spans="28:30" x14ac:dyDescent="0.3">
      <c r="AB233" s="150">
        <v>44286</v>
      </c>
      <c r="AC233" s="58">
        <v>9415.035454744404</v>
      </c>
      <c r="AD233" s="1">
        <f t="shared" si="3"/>
        <v>-4.2102646528190894E-2</v>
      </c>
    </row>
    <row r="234" spans="28:30" x14ac:dyDescent="0.3">
      <c r="AB234" s="150">
        <v>44316</v>
      </c>
      <c r="AC234" s="58">
        <v>10516.188526095972</v>
      </c>
      <c r="AD234" s="1">
        <f t="shared" si="3"/>
        <v>0.11060790638091864</v>
      </c>
    </row>
    <row r="235" spans="28:30" x14ac:dyDescent="0.3">
      <c r="AB235" s="150">
        <v>44344</v>
      </c>
      <c r="AC235" s="58">
        <v>10663.845783119074</v>
      </c>
      <c r="AD235" s="1">
        <f t="shared" si="3"/>
        <v>1.3943287068838394E-2</v>
      </c>
    </row>
    <row r="236" spans="28:30" x14ac:dyDescent="0.3">
      <c r="AB236" s="150">
        <v>44377</v>
      </c>
      <c r="AC236" s="58">
        <v>9765.2422173423638</v>
      </c>
      <c r="AD236" s="1">
        <f t="shared" si="3"/>
        <v>-8.8029752659523591E-2</v>
      </c>
    </row>
    <row r="237" spans="28:30" x14ac:dyDescent="0.3">
      <c r="AB237" s="150">
        <v>44407</v>
      </c>
      <c r="AC237" s="58">
        <v>10096.632856817447</v>
      </c>
      <c r="AD237" s="1">
        <f t="shared" si="3"/>
        <v>3.3372619086085048E-2</v>
      </c>
    </row>
    <row r="238" spans="28:30" x14ac:dyDescent="0.3">
      <c r="AB238" s="150">
        <v>44439</v>
      </c>
      <c r="AC238" s="58">
        <v>9768.8361889033749</v>
      </c>
      <c r="AD238" s="1">
        <f t="shared" si="3"/>
        <v>-3.3004649681353346E-2</v>
      </c>
    </row>
    <row r="239" spans="28:30" x14ac:dyDescent="0.3">
      <c r="AB239" s="150">
        <v>44469</v>
      </c>
      <c r="AC239" s="58">
        <v>9295.5000583485889</v>
      </c>
      <c r="AD239" s="1">
        <f t="shared" si="3"/>
        <v>-4.9666919703885114E-2</v>
      </c>
    </row>
    <row r="240" spans="28:30" x14ac:dyDescent="0.3">
      <c r="AB240" s="150">
        <v>44498</v>
      </c>
      <c r="AC240" s="58">
        <v>10147.304729021296</v>
      </c>
      <c r="AD240" s="1">
        <f t="shared" si="3"/>
        <v>8.7677707920759518E-2</v>
      </c>
    </row>
    <row r="241" spans="28:30" x14ac:dyDescent="0.3">
      <c r="AB241" s="150">
        <v>44530</v>
      </c>
      <c r="AC241" s="58">
        <v>9722.560587238444</v>
      </c>
      <c r="AD241" s="1">
        <f t="shared" si="3"/>
        <v>-4.2759107605431959E-2</v>
      </c>
    </row>
    <row r="242" spans="28:30" x14ac:dyDescent="0.3">
      <c r="AB242" s="150">
        <v>44561</v>
      </c>
      <c r="AC242" s="58">
        <v>9754.5198803395633</v>
      </c>
      <c r="AD242" s="1">
        <f t="shared" si="3"/>
        <v>3.2817363810999276E-3</v>
      </c>
    </row>
    <row r="243" spans="28:30" x14ac:dyDescent="0.3">
      <c r="AB243" s="150">
        <v>44592</v>
      </c>
      <c r="AC243" s="58">
        <v>9620</v>
      </c>
      <c r="AD243" s="1">
        <f t="shared" si="3"/>
        <v>-1.3886490384026146E-2</v>
      </c>
    </row>
  </sheetData>
  <hyperlinks>
    <hyperlink ref="B29" location="Assumptions!A1" display="Jump to front" xr:uid="{0B7980AD-2FC9-4693-ABD7-117B23E198A9}"/>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AFF1F-382F-4355-88BA-03E05C8493BE}">
  <sheetPr codeName="Sheet22"/>
  <dimension ref="C2:K24"/>
  <sheetViews>
    <sheetView showGridLines="0" workbookViewId="0">
      <selection activeCell="C24" sqref="C24"/>
    </sheetView>
  </sheetViews>
  <sheetFormatPr defaultRowHeight="13.8" x14ac:dyDescent="0.3"/>
  <cols>
    <col min="3" max="3" width="15.6640625" customWidth="1"/>
  </cols>
  <sheetData>
    <row r="2" spans="3:11" x14ac:dyDescent="0.3">
      <c r="D2" t="s">
        <v>169</v>
      </c>
      <c r="E2">
        <v>10</v>
      </c>
      <c r="I2" t="s">
        <v>177</v>
      </c>
      <c r="J2">
        <v>25.39</v>
      </c>
    </row>
    <row r="3" spans="3:11" x14ac:dyDescent="0.3">
      <c r="D3" t="s">
        <v>170</v>
      </c>
      <c r="E3" t="s">
        <v>171</v>
      </c>
      <c r="F3" t="s">
        <v>173</v>
      </c>
      <c r="J3">
        <f>J2/2</f>
        <v>12.695</v>
      </c>
      <c r="K3">
        <f>J2*1.5</f>
        <v>38.085000000000001</v>
      </c>
    </row>
    <row r="4" spans="3:11" x14ac:dyDescent="0.3">
      <c r="D4" t="s">
        <v>169</v>
      </c>
      <c r="E4" t="s">
        <v>172</v>
      </c>
      <c r="F4" t="s">
        <v>174</v>
      </c>
    </row>
    <row r="6" spans="3:11" x14ac:dyDescent="0.3">
      <c r="C6" t="s">
        <v>176</v>
      </c>
    </row>
    <row r="7" spans="3:11" x14ac:dyDescent="0.3">
      <c r="D7" t="s">
        <v>178</v>
      </c>
      <c r="E7" t="s">
        <v>179</v>
      </c>
    </row>
    <row r="8" spans="3:11" x14ac:dyDescent="0.3">
      <c r="C8" t="s">
        <v>175</v>
      </c>
      <c r="D8">
        <f>K3*E2</f>
        <v>380.85</v>
      </c>
      <c r="E8">
        <f>J3*E2</f>
        <v>126.95</v>
      </c>
    </row>
    <row r="9" spans="3:11" x14ac:dyDescent="0.3">
      <c r="C9" t="s">
        <v>180</v>
      </c>
      <c r="D9">
        <f>-(K3-31)*5</f>
        <v>-35.425000000000004</v>
      </c>
      <c r="E9">
        <v>0</v>
      </c>
    </row>
    <row r="10" spans="3:11" x14ac:dyDescent="0.3">
      <c r="C10" t="s">
        <v>181</v>
      </c>
      <c r="D10">
        <v>0</v>
      </c>
      <c r="E10">
        <f>(20-J3)*5</f>
        <v>36.524999999999999</v>
      </c>
    </row>
    <row r="11" spans="3:11" x14ac:dyDescent="0.3">
      <c r="D11">
        <f>SUM(D8:D10)</f>
        <v>345.42500000000001</v>
      </c>
      <c r="E11">
        <f>SUM(E8:E10)</f>
        <v>163.47499999999999</v>
      </c>
    </row>
    <row r="14" spans="3:11" x14ac:dyDescent="0.3">
      <c r="D14" s="154">
        <f>D11-E11</f>
        <v>181.95000000000002</v>
      </c>
    </row>
    <row r="24" spans="3:3" x14ac:dyDescent="0.3">
      <c r="C24" s="193" t="s">
        <v>342</v>
      </c>
    </row>
  </sheetData>
  <hyperlinks>
    <hyperlink ref="C24" location="Assumptions!A1" display="Jump to front" xr:uid="{2A14FF0D-6B6B-4C1E-90A7-554DE4D10A8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47DFC-A41B-41D7-912C-9FFEA1C0E8F5}">
  <sheetPr codeName="Sheet23"/>
  <dimension ref="B1:AE28"/>
  <sheetViews>
    <sheetView workbookViewId="0">
      <selection activeCell="B28" sqref="B28"/>
    </sheetView>
  </sheetViews>
  <sheetFormatPr defaultColWidth="9.109375" defaultRowHeight="13.8" x14ac:dyDescent="0.3"/>
  <cols>
    <col min="1" max="1" width="0.88671875" style="1" customWidth="1"/>
    <col min="2" max="2" width="40.21875" style="1" bestFit="1" customWidth="1"/>
    <col min="3" max="3" width="8.6640625" style="1" customWidth="1"/>
    <col min="4" max="4" width="1.6640625" style="1" customWidth="1"/>
    <col min="5" max="5" width="7.6640625" style="1" customWidth="1"/>
    <col min="6" max="6" width="1.6640625" style="1" customWidth="1"/>
    <col min="7" max="7" width="7.6640625" style="1" customWidth="1"/>
    <col min="8" max="8" width="2.6640625" style="1" customWidth="1"/>
    <col min="9" max="10" width="7.6640625" style="1" customWidth="1"/>
    <col min="11" max="11" width="2.6640625" style="1" customWidth="1"/>
    <col min="12" max="12" width="8.77734375" style="1" bestFit="1" customWidth="1"/>
    <col min="13" max="13" width="1.6640625" style="1" customWidth="1"/>
    <col min="14" max="14" width="7.6640625" style="1" customWidth="1"/>
    <col min="15" max="15" width="1.6640625" style="1" customWidth="1"/>
    <col min="16" max="16" width="7.6640625" style="1" customWidth="1"/>
    <col min="17" max="17" width="2.6640625" style="1" customWidth="1"/>
    <col min="18" max="18" width="7.6640625" style="1" customWidth="1"/>
    <col min="19" max="19" width="2.6640625" style="1" customWidth="1"/>
    <col min="20" max="20" width="7.6640625" style="1" customWidth="1"/>
    <col min="21" max="21" width="2.6640625" style="1" customWidth="1"/>
    <col min="22" max="22" width="7.6640625" style="1" customWidth="1"/>
    <col min="23" max="23" width="1.6640625" style="1" customWidth="1"/>
    <col min="24" max="24" width="7.6640625" style="1" customWidth="1"/>
    <col min="25" max="25" width="2.6640625" style="1" customWidth="1"/>
    <col min="26" max="26" width="7.6640625" style="1" customWidth="1"/>
    <col min="27" max="27" width="1.6640625" style="1" customWidth="1"/>
    <col min="28" max="28" width="7.6640625" style="1" customWidth="1"/>
    <col min="29" max="29" width="2.6640625" style="1" customWidth="1"/>
    <col min="30" max="30" width="7.6640625" style="1" customWidth="1"/>
    <col min="31" max="31" width="1.6640625" style="1" customWidth="1"/>
    <col min="32" max="16384" width="9.109375" style="1"/>
  </cols>
  <sheetData>
    <row r="1" spans="2:31" ht="4.95" customHeight="1" thickBot="1" x14ac:dyDescent="0.35"/>
    <row r="2" spans="2:31" x14ac:dyDescent="0.3">
      <c r="B2" s="3" t="s">
        <v>16</v>
      </c>
      <c r="C2" s="51">
        <v>705</v>
      </c>
      <c r="E2" s="10"/>
      <c r="F2" s="59"/>
      <c r="G2" s="59" t="s">
        <v>21</v>
      </c>
      <c r="H2" s="59"/>
      <c r="I2" s="59"/>
      <c r="J2" s="59" t="s">
        <v>5</v>
      </c>
      <c r="K2" s="59"/>
      <c r="L2" s="59"/>
      <c r="M2" s="59"/>
      <c r="N2" s="59"/>
      <c r="O2" s="59"/>
      <c r="P2" s="60" t="s">
        <v>6</v>
      </c>
      <c r="Q2" s="59"/>
      <c r="R2" s="59"/>
      <c r="S2" s="59"/>
      <c r="T2" s="59"/>
      <c r="U2" s="59"/>
      <c r="V2" s="59"/>
      <c r="W2" s="59"/>
      <c r="X2" s="59" t="s">
        <v>7</v>
      </c>
      <c r="Y2" s="59"/>
      <c r="Z2" s="59"/>
      <c r="AA2" s="59"/>
      <c r="AB2" s="59"/>
      <c r="AC2" s="59"/>
      <c r="AD2" s="59"/>
      <c r="AE2" s="61"/>
    </row>
    <row r="3" spans="2:31" x14ac:dyDescent="0.3">
      <c r="B3" s="4" t="s">
        <v>0</v>
      </c>
      <c r="C3" s="36">
        <v>710</v>
      </c>
      <c r="E3" s="11"/>
      <c r="P3" s="16"/>
      <c r="AE3" s="62"/>
    </row>
    <row r="4" spans="2:31" x14ac:dyDescent="0.3">
      <c r="B4" s="4" t="s">
        <v>1</v>
      </c>
      <c r="C4" s="36">
        <f>C2*C18</f>
        <v>881.25</v>
      </c>
      <c r="E4" s="11"/>
      <c r="N4" s="41">
        <f>L6*C18</f>
        <v>1376.953125</v>
      </c>
      <c r="P4" s="16"/>
      <c r="V4" s="41">
        <f>MAX(N4-$C$3,0)</f>
        <v>666.953125</v>
      </c>
      <c r="AD4" s="41">
        <f>MAX($C$3-N4,0)</f>
        <v>0</v>
      </c>
      <c r="AE4" s="62"/>
    </row>
    <row r="5" spans="2:31" x14ac:dyDescent="0.3">
      <c r="B5" s="4" t="s">
        <v>2</v>
      </c>
      <c r="C5" s="36">
        <f>C2*C19</f>
        <v>564</v>
      </c>
      <c r="E5" s="11"/>
      <c r="AE5" s="62"/>
    </row>
    <row r="6" spans="2:31" x14ac:dyDescent="0.3">
      <c r="B6" s="4" t="s">
        <v>3</v>
      </c>
      <c r="C6" s="24">
        <v>0.02</v>
      </c>
      <c r="E6" s="11"/>
      <c r="L6" s="41">
        <f>I8/G10*I8</f>
        <v>1101.5625</v>
      </c>
      <c r="P6" s="16"/>
      <c r="T6" s="41">
        <f>V6/(1+$C$6)^(V$18-T$18)</f>
        <v>395.06877998931134</v>
      </c>
      <c r="U6" s="58"/>
      <c r="V6" s="42">
        <f>V4*$J$8+V8*$J$12</f>
        <v>397.02947931110742</v>
      </c>
      <c r="AB6" s="41">
        <f>AD6/(1+$C$6)^(AD$18-AB$18)</f>
        <v>0</v>
      </c>
      <c r="AC6" s="58"/>
      <c r="AD6" s="42">
        <f>AD4*$J$8+AD8*$J$12</f>
        <v>0</v>
      </c>
      <c r="AE6" s="62"/>
    </row>
    <row r="7" spans="2:31" x14ac:dyDescent="0.3">
      <c r="B7" s="4" t="s">
        <v>15</v>
      </c>
      <c r="C7" s="25">
        <f>3/12</f>
        <v>0.25</v>
      </c>
      <c r="E7" s="11"/>
      <c r="P7" s="16"/>
      <c r="AE7" s="62"/>
    </row>
    <row r="8" spans="2:31" ht="14.4" thickBot="1" x14ac:dyDescent="0.35">
      <c r="B8" s="4" t="s">
        <v>4</v>
      </c>
      <c r="C8" s="25">
        <v>0.75</v>
      </c>
      <c r="E8" s="11"/>
      <c r="I8" s="41">
        <f>C4</f>
        <v>881.25</v>
      </c>
      <c r="J8" s="69">
        <f>(I10-I12)/(I8-I12)</f>
        <v>0.45547318127378644</v>
      </c>
      <c r="K8" s="2"/>
      <c r="N8" s="41">
        <f>L6*C19</f>
        <v>881.25</v>
      </c>
      <c r="R8" s="41">
        <f>T8/(1+$C$6)^(T$18-R$18)</f>
        <v>221.10910849352933</v>
      </c>
      <c r="S8" s="2"/>
      <c r="T8" s="42">
        <f>T6*$J$8+T10*$J$12</f>
        <v>222.20645786919482</v>
      </c>
      <c r="U8" s="58"/>
      <c r="V8" s="41">
        <f>MAX(N8-$C$3,0)</f>
        <v>171.25</v>
      </c>
      <c r="Z8" s="41">
        <f>AB8/(1+$C$6)^(AB$18-Z$18)</f>
        <v>42.863864006967844</v>
      </c>
      <c r="AA8" s="2"/>
      <c r="AB8" s="42">
        <f>AB6*$J$8+AB10*$J$12</f>
        <v>43.076594430997538</v>
      </c>
      <c r="AC8" s="58"/>
      <c r="AD8" s="41">
        <f>MAX($C$3-N8,0)</f>
        <v>0</v>
      </c>
      <c r="AE8" s="62"/>
    </row>
    <row r="9" spans="2:31" x14ac:dyDescent="0.3">
      <c r="B9" s="10" t="s">
        <v>8</v>
      </c>
      <c r="C9" s="37">
        <f>P10</f>
        <v>119.2720316561264</v>
      </c>
      <c r="E9" s="11"/>
      <c r="AE9" s="62"/>
    </row>
    <row r="10" spans="2:31" x14ac:dyDescent="0.3">
      <c r="B10" s="11" t="s">
        <v>11</v>
      </c>
      <c r="C10" s="38">
        <f>MAX(C2-C3,0)</f>
        <v>0</v>
      </c>
      <c r="E10" s="11"/>
      <c r="G10" s="40">
        <f>C2</f>
        <v>705</v>
      </c>
      <c r="I10" s="49">
        <f>G10*(1+C6)^C7</f>
        <v>708.49886675910875</v>
      </c>
      <c r="K10" s="2"/>
      <c r="L10" s="41">
        <f>I8/G10*I12</f>
        <v>705</v>
      </c>
      <c r="P10" s="40">
        <f>R10/(1+$C$6)^R18</f>
        <v>119.2720316561264</v>
      </c>
      <c r="Q10" s="2"/>
      <c r="R10" s="42">
        <f>R8*$J$8+R12*$J$12</f>
        <v>119.86397058783275</v>
      </c>
      <c r="S10" s="2"/>
      <c r="T10" s="41">
        <f>V10/(1+$C$6)^(V$18-T$18)</f>
        <v>77.614586411692173</v>
      </c>
      <c r="U10" s="58"/>
      <c r="V10" s="42">
        <f>V8*$J$8+V12*$J$12</f>
        <v>77.999782293135922</v>
      </c>
      <c r="X10" s="40">
        <f>Z10/(1+$C$6)^Z18</f>
        <v>113.80505265316003</v>
      </c>
      <c r="Y10" s="2"/>
      <c r="Z10" s="42">
        <f>Z8*$J$8+Z12*$J$12</f>
        <v>114.36985934216253</v>
      </c>
      <c r="AA10" s="2"/>
      <c r="AB10" s="41">
        <f>AD10/(1+$C$6)^(AD$18-AB$18)</f>
        <v>79.108306422380863</v>
      </c>
      <c r="AC10" s="58"/>
      <c r="AD10" s="42">
        <f>AD8*$J$8+AD12*$J$12</f>
        <v>79.500915534027186</v>
      </c>
      <c r="AE10" s="62"/>
    </row>
    <row r="11" spans="2:31" ht="14.4" thickBot="1" x14ac:dyDescent="0.35">
      <c r="B11" s="12" t="s">
        <v>12</v>
      </c>
      <c r="C11" s="39">
        <f>C9-C10</f>
        <v>119.2720316561264</v>
      </c>
      <c r="E11" s="11"/>
      <c r="AE11" s="62"/>
    </row>
    <row r="12" spans="2:31" x14ac:dyDescent="0.3">
      <c r="B12" s="11" t="s">
        <v>9</v>
      </c>
      <c r="C12" s="38">
        <f>X10</f>
        <v>113.80505265316003</v>
      </c>
      <c r="E12" s="11"/>
      <c r="I12" s="41">
        <f>C5</f>
        <v>564</v>
      </c>
      <c r="J12" s="69">
        <f>1-J8</f>
        <v>0.54452681872621356</v>
      </c>
      <c r="K12" s="2"/>
      <c r="L12" s="2"/>
      <c r="N12" s="41">
        <f>L14*C18</f>
        <v>564</v>
      </c>
      <c r="R12" s="41">
        <f>T12/(1+$C$6)^(T$18-R$18)</f>
        <v>35.176782621068803</v>
      </c>
      <c r="S12" s="2"/>
      <c r="T12" s="42">
        <f>T10*$J$8+T14*$J$12</f>
        <v>35.351362586182631</v>
      </c>
      <c r="U12" s="58"/>
      <c r="V12" s="41">
        <f>MAX(N12-$C$3,0)</f>
        <v>0</v>
      </c>
      <c r="Z12" s="41">
        <f>AB12/(1+$C$6)^(AB$18-Z$18)</f>
        <v>174.18153813450735</v>
      </c>
      <c r="AA12" s="2"/>
      <c r="AB12" s="42">
        <f>AB10*$J$8+AB14*$J$12</f>
        <v>175.0459891895843</v>
      </c>
      <c r="AC12" s="58"/>
      <c r="AD12" s="41">
        <f>MAX($C$3-N12,0)</f>
        <v>146</v>
      </c>
      <c r="AE12" s="62"/>
    </row>
    <row r="13" spans="2:31" x14ac:dyDescent="0.3">
      <c r="B13" s="11" t="s">
        <v>13</v>
      </c>
      <c r="C13" s="38">
        <f>MAX(C3-C2,0)</f>
        <v>5</v>
      </c>
      <c r="E13" s="11"/>
      <c r="I13" s="2"/>
      <c r="J13" s="15"/>
      <c r="K13" s="2"/>
      <c r="L13" s="2"/>
      <c r="R13" s="2"/>
      <c r="S13" s="2"/>
      <c r="T13" s="2"/>
      <c r="U13" s="2"/>
      <c r="V13" s="2"/>
      <c r="Z13" s="2"/>
      <c r="AA13" s="2"/>
      <c r="AB13" s="2"/>
      <c r="AC13" s="2"/>
      <c r="AD13" s="2"/>
      <c r="AE13" s="62"/>
    </row>
    <row r="14" spans="2:31" ht="14.4" thickBot="1" x14ac:dyDescent="0.35">
      <c r="B14" s="12" t="s">
        <v>14</v>
      </c>
      <c r="C14" s="39">
        <f>C12-C13</f>
        <v>108.80505265316003</v>
      </c>
      <c r="E14" s="11"/>
      <c r="I14" s="2"/>
      <c r="J14" s="15"/>
      <c r="K14" s="2"/>
      <c r="L14" s="41">
        <f>I12/G10*I12</f>
        <v>451.20000000000005</v>
      </c>
      <c r="R14" s="2"/>
      <c r="S14" s="2"/>
      <c r="T14" s="41">
        <f>V14/(1+$C$6)^(V$18-T$18)</f>
        <v>0</v>
      </c>
      <c r="U14" s="58"/>
      <c r="V14" s="42">
        <f>V12*$J$8+V16*$J$12</f>
        <v>0</v>
      </c>
      <c r="Z14" s="2"/>
      <c r="AA14" s="2"/>
      <c r="AB14" s="41">
        <f>AD14/(1+$C$6)^(AD$18-AB$18)</f>
        <v>255.29372001068865</v>
      </c>
      <c r="AC14" s="58"/>
      <c r="AD14" s="42">
        <f>AD12*$J$8+AD16*$J$12</f>
        <v>256.56072527417035</v>
      </c>
      <c r="AE14" s="62"/>
    </row>
    <row r="15" spans="2:31" x14ac:dyDescent="0.3">
      <c r="E15" s="11"/>
      <c r="AE15" s="62"/>
    </row>
    <row r="16" spans="2:31" x14ac:dyDescent="0.3">
      <c r="B16" s="1" t="s">
        <v>17</v>
      </c>
      <c r="C16" s="23">
        <f>C17/SQRT(12)</f>
        <v>2.8163146131069943E-2</v>
      </c>
      <c r="E16" s="11"/>
      <c r="I16" s="13"/>
      <c r="J16" s="17"/>
      <c r="K16" s="13"/>
      <c r="L16" s="13"/>
      <c r="N16" s="41">
        <f>L14*C19</f>
        <v>360.96000000000004</v>
      </c>
      <c r="P16" s="17"/>
      <c r="R16" s="13"/>
      <c r="T16" s="17"/>
      <c r="U16" s="17"/>
      <c r="V16" s="41">
        <f>MAX(N16-$C$3,0)</f>
        <v>0</v>
      </c>
      <c r="AB16" s="2"/>
      <c r="AC16" s="2"/>
      <c r="AD16" s="41">
        <f>MAX($C$3-N16,0)</f>
        <v>349.03999999999996</v>
      </c>
      <c r="AE16" s="62"/>
    </row>
    <row r="17" spans="2:31" x14ac:dyDescent="0.3">
      <c r="B17" s="1" t="s">
        <v>18</v>
      </c>
      <c r="C17" s="23">
        <f>Assumptions!B1</f>
        <v>9.7559999999999994E-2</v>
      </c>
      <c r="E17" s="11"/>
      <c r="P17" s="17"/>
      <c r="AE17" s="62"/>
    </row>
    <row r="18" spans="2:31" ht="14.4" thickBot="1" x14ac:dyDescent="0.35">
      <c r="B18" s="1" t="s">
        <v>19</v>
      </c>
      <c r="C18" s="13">
        <f>1.25</f>
        <v>1.25</v>
      </c>
      <c r="E18" s="63" t="s">
        <v>10</v>
      </c>
      <c r="F18" s="64"/>
      <c r="G18" s="65">
        <v>0</v>
      </c>
      <c r="H18" s="66"/>
      <c r="I18" s="65">
        <f>G18+$C$7</f>
        <v>0.25</v>
      </c>
      <c r="J18" s="67"/>
      <c r="K18" s="65"/>
      <c r="L18" s="65">
        <f>I18+$C$7</f>
        <v>0.5</v>
      </c>
      <c r="M18" s="67"/>
      <c r="N18" s="65">
        <f>L18+$C$7</f>
        <v>0.75</v>
      </c>
      <c r="O18" s="67"/>
      <c r="P18" s="67">
        <f>G18</f>
        <v>0</v>
      </c>
      <c r="Q18" s="67"/>
      <c r="R18" s="67">
        <f>P18+$C$7</f>
        <v>0.25</v>
      </c>
      <c r="S18" s="67"/>
      <c r="T18" s="67">
        <f>R18+$C$7</f>
        <v>0.5</v>
      </c>
      <c r="U18" s="67"/>
      <c r="V18" s="67">
        <f>T18+$C$7</f>
        <v>0.75</v>
      </c>
      <c r="W18" s="67"/>
      <c r="X18" s="67">
        <f>G18</f>
        <v>0</v>
      </c>
      <c r="Y18" s="67"/>
      <c r="Z18" s="67">
        <f>X18+$C$7</f>
        <v>0.25</v>
      </c>
      <c r="AA18" s="67"/>
      <c r="AB18" s="67">
        <f>Z18+$C$7</f>
        <v>0.5</v>
      </c>
      <c r="AC18" s="67"/>
      <c r="AD18" s="67">
        <f>AB18+$C$7</f>
        <v>0.75</v>
      </c>
      <c r="AE18" s="68"/>
    </row>
    <row r="19" spans="2:31" x14ac:dyDescent="0.3">
      <c r="B19" s="1" t="s">
        <v>20</v>
      </c>
      <c r="C19" s="13">
        <f>1/C18</f>
        <v>0.8</v>
      </c>
      <c r="I19" s="14"/>
    </row>
    <row r="21" spans="2:31" x14ac:dyDescent="0.3">
      <c r="C21" s="13">
        <f>C17*SQRT(C7)</f>
        <v>4.8779999999999997E-2</v>
      </c>
    </row>
    <row r="24" spans="2:31" x14ac:dyDescent="0.3">
      <c r="B24" s="153" t="s">
        <v>183</v>
      </c>
    </row>
    <row r="28" spans="2:31" x14ac:dyDescent="0.3">
      <c r="B28" s="193" t="s">
        <v>342</v>
      </c>
    </row>
  </sheetData>
  <hyperlinks>
    <hyperlink ref="B28" location="Assumptions!A1" display="Jump to front" xr:uid="{023075F8-23E4-49FF-975F-51D2247F17A1}"/>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1F0F1-762A-4FC8-BD3D-5CED0981A759}">
  <sheetPr codeName="Sheet24"/>
  <dimension ref="B1:AE27"/>
  <sheetViews>
    <sheetView workbookViewId="0">
      <selection activeCell="B27" sqref="B27"/>
    </sheetView>
  </sheetViews>
  <sheetFormatPr defaultColWidth="9.109375" defaultRowHeight="13.8" x14ac:dyDescent="0.3"/>
  <cols>
    <col min="1" max="1" width="0.88671875" style="1" customWidth="1"/>
    <col min="2" max="2" width="40.21875" style="1" bestFit="1" customWidth="1"/>
    <col min="3" max="3" width="8.6640625" style="1" customWidth="1"/>
    <col min="4" max="4" width="1.6640625" style="1" customWidth="1"/>
    <col min="5" max="5" width="7.6640625" style="1" customWidth="1"/>
    <col min="6" max="6" width="1.6640625" style="1" customWidth="1"/>
    <col min="7" max="7" width="7.6640625" style="1" customWidth="1"/>
    <col min="8" max="8" width="2.6640625" style="1" customWidth="1"/>
    <col min="9" max="10" width="7.6640625" style="1" customWidth="1"/>
    <col min="11" max="11" width="2.6640625" style="1" customWidth="1"/>
    <col min="12" max="12" width="8.77734375" style="1" bestFit="1" customWidth="1"/>
    <col min="13" max="13" width="1.6640625" style="1" customWidth="1"/>
    <col min="14" max="14" width="7.6640625" style="1" customWidth="1"/>
    <col min="15" max="15" width="1.6640625" style="1" customWidth="1"/>
    <col min="16" max="16" width="7.6640625" style="1" customWidth="1"/>
    <col min="17" max="17" width="2.6640625" style="1" customWidth="1"/>
    <col min="18" max="18" width="7.6640625" style="1" customWidth="1"/>
    <col min="19" max="19" width="2.6640625" style="1" customWidth="1"/>
    <col min="20" max="20" width="7.6640625" style="1" customWidth="1"/>
    <col min="21" max="21" width="2.6640625" style="1" customWidth="1"/>
    <col min="22" max="22" width="7.6640625" style="1" customWidth="1"/>
    <col min="23" max="23" width="1.6640625" style="1" customWidth="1"/>
    <col min="24" max="24" width="7.6640625" style="1" customWidth="1"/>
    <col min="25" max="25" width="2.6640625" style="1" customWidth="1"/>
    <col min="26" max="26" width="7.6640625" style="1" customWidth="1"/>
    <col min="27" max="27" width="1.6640625" style="1" customWidth="1"/>
    <col min="28" max="28" width="7.6640625" style="1" customWidth="1"/>
    <col min="29" max="29" width="2.6640625" style="1" customWidth="1"/>
    <col min="30" max="30" width="7.6640625" style="1" customWidth="1"/>
    <col min="31" max="31" width="1.6640625" style="1" customWidth="1"/>
    <col min="32" max="16384" width="9.109375" style="1"/>
  </cols>
  <sheetData>
    <row r="1" spans="2:31" ht="4.95" customHeight="1" thickBot="1" x14ac:dyDescent="0.35"/>
    <row r="2" spans="2:31" x14ac:dyDescent="0.3">
      <c r="B2" s="3" t="s">
        <v>16</v>
      </c>
      <c r="C2" s="51">
        <v>705</v>
      </c>
      <c r="E2" s="10"/>
      <c r="F2" s="59"/>
      <c r="G2" s="59" t="s">
        <v>21</v>
      </c>
      <c r="H2" s="59"/>
      <c r="I2" s="59"/>
      <c r="J2" s="59" t="s">
        <v>5</v>
      </c>
      <c r="K2" s="59"/>
      <c r="L2" s="59"/>
      <c r="M2" s="59"/>
      <c r="N2" s="59"/>
      <c r="O2" s="59"/>
      <c r="P2" s="60" t="s">
        <v>6</v>
      </c>
      <c r="Q2" s="59"/>
      <c r="R2" s="59"/>
      <c r="S2" s="59"/>
      <c r="T2" s="59"/>
      <c r="U2" s="59"/>
      <c r="V2" s="59"/>
      <c r="W2" s="59"/>
      <c r="X2" s="59" t="s">
        <v>7</v>
      </c>
      <c r="Y2" s="59"/>
      <c r="Z2" s="59"/>
      <c r="AA2" s="59"/>
      <c r="AB2" s="59"/>
      <c r="AC2" s="59"/>
      <c r="AD2" s="59"/>
      <c r="AE2" s="61"/>
    </row>
    <row r="3" spans="2:31" x14ac:dyDescent="0.3">
      <c r="B3" s="4" t="s">
        <v>0</v>
      </c>
      <c r="C3" s="36">
        <v>710</v>
      </c>
      <c r="E3" s="11"/>
      <c r="P3" s="16"/>
      <c r="AE3" s="62"/>
    </row>
    <row r="4" spans="2:31" x14ac:dyDescent="0.3">
      <c r="B4" s="4" t="s">
        <v>1</v>
      </c>
      <c r="C4" s="36">
        <f>C2*C18</f>
        <v>881.25</v>
      </c>
      <c r="E4" s="11"/>
      <c r="N4" s="41">
        <f>L6*C18</f>
        <v>1376.953125</v>
      </c>
      <c r="P4" s="16"/>
      <c r="V4" s="41">
        <f>MAX(N4-$C$3,0)</f>
        <v>666.953125</v>
      </c>
      <c r="AD4" s="41">
        <f>MAX($C$3-N4,0)</f>
        <v>0</v>
      </c>
      <c r="AE4" s="62"/>
    </row>
    <row r="5" spans="2:31" x14ac:dyDescent="0.3">
      <c r="B5" s="4" t="s">
        <v>2</v>
      </c>
      <c r="C5" s="36">
        <f>C2*C19</f>
        <v>564</v>
      </c>
      <c r="E5" s="11"/>
      <c r="AE5" s="62"/>
    </row>
    <row r="6" spans="2:31" x14ac:dyDescent="0.3">
      <c r="B6" s="4" t="s">
        <v>3</v>
      </c>
      <c r="C6" s="24">
        <v>0.02</v>
      </c>
      <c r="E6" s="11"/>
      <c r="L6" s="41">
        <f>I8/G10*I8</f>
        <v>1101.5625</v>
      </c>
      <c r="P6" s="16"/>
      <c r="T6" s="41">
        <f>MAX(V6/(1+$C$6)^(V$18-T$18),L6-$C$3)</f>
        <v>395.06877998931134</v>
      </c>
      <c r="U6" s="58"/>
      <c r="V6" s="42">
        <f>V4*$J$8+V8*$J$12</f>
        <v>397.02947931110742</v>
      </c>
      <c r="AB6" s="41">
        <f>MAX(AD6/(1+$C$6)^(AD$18-AB$18),$C$3-L6)</f>
        <v>0</v>
      </c>
      <c r="AC6" s="58"/>
      <c r="AD6" s="42">
        <f>AD4*$J$8+AD8*$J$12</f>
        <v>0</v>
      </c>
      <c r="AE6" s="62"/>
    </row>
    <row r="7" spans="2:31" x14ac:dyDescent="0.3">
      <c r="B7" s="4" t="s">
        <v>15</v>
      </c>
      <c r="C7" s="25">
        <f>3/12</f>
        <v>0.25</v>
      </c>
      <c r="E7" s="11"/>
      <c r="P7" s="16"/>
      <c r="AE7" s="62"/>
    </row>
    <row r="8" spans="2:31" ht="14.4" thickBot="1" x14ac:dyDescent="0.35">
      <c r="B8" s="4" t="s">
        <v>4</v>
      </c>
      <c r="C8" s="25">
        <f>Assumptions!B4</f>
        <v>0.5</v>
      </c>
      <c r="E8" s="11"/>
      <c r="I8" s="41">
        <f>C4</f>
        <v>881.25</v>
      </c>
      <c r="J8" s="69">
        <f>(I10-I12)/(I8-I12)</f>
        <v>0.45547318127378644</v>
      </c>
      <c r="K8" s="2"/>
      <c r="N8" s="41">
        <f>L6*C19</f>
        <v>881.25</v>
      </c>
      <c r="R8" s="41">
        <f>MAX(T8/(1+$C$6)^(T$18-R$18),I8-$C$3)</f>
        <v>221.10910849352933</v>
      </c>
      <c r="S8" s="2"/>
      <c r="T8" s="42">
        <f>T6*$J$8+T10*$J$12</f>
        <v>222.20645786919482</v>
      </c>
      <c r="U8" s="58"/>
      <c r="V8" s="41">
        <f>MAX(N8-$C$3,0)</f>
        <v>171.25</v>
      </c>
      <c r="Z8" s="41">
        <f>MAX(AB8/(1+$C$6)^(AB$18-Z$18),$C$3-I8)</f>
        <v>42.863864006967844</v>
      </c>
      <c r="AA8" s="2"/>
      <c r="AB8" s="42">
        <f>AB6*$J$8+AB10*$J$12</f>
        <v>43.076594430997538</v>
      </c>
      <c r="AC8" s="58"/>
      <c r="AD8" s="41">
        <f>MAX($C$3-N8,0)</f>
        <v>0</v>
      </c>
      <c r="AE8" s="62"/>
    </row>
    <row r="9" spans="2:31" x14ac:dyDescent="0.3">
      <c r="B9" s="10" t="s">
        <v>8</v>
      </c>
      <c r="C9" s="37">
        <f>P10</f>
        <v>119.2720316561264</v>
      </c>
      <c r="E9" s="11"/>
      <c r="AE9" s="62"/>
    </row>
    <row r="10" spans="2:31" x14ac:dyDescent="0.3">
      <c r="B10" s="11" t="s">
        <v>11</v>
      </c>
      <c r="C10" s="38">
        <f>MAX(C2-C3,0)</f>
        <v>0</v>
      </c>
      <c r="E10" s="11"/>
      <c r="G10" s="40">
        <f>C2</f>
        <v>705</v>
      </c>
      <c r="I10" s="49">
        <f>G10*(1+C6)^C7</f>
        <v>708.49886675910875</v>
      </c>
      <c r="K10" s="2"/>
      <c r="L10" s="41">
        <f>I8/G10*I12</f>
        <v>705</v>
      </c>
      <c r="P10" s="40">
        <f>MAX(R10/(1+$C$6)^(R$18-P$18),G10-$C$3)</f>
        <v>119.2720316561264</v>
      </c>
      <c r="Q10" s="2"/>
      <c r="R10" s="42">
        <f>R8*$J$8+R12*$J$12</f>
        <v>119.86397058783275</v>
      </c>
      <c r="S10" s="2"/>
      <c r="T10" s="41">
        <f>MAX(V10/(1+$C$6)^(V$18-T$18),L10-$C$3)</f>
        <v>77.614586411692173</v>
      </c>
      <c r="U10" s="58"/>
      <c r="V10" s="42">
        <f>V8*$J$8+V12*$J$12</f>
        <v>77.999782293135922</v>
      </c>
      <c r="X10" s="40">
        <f>MAX(Z10/(1+$C$6)^(Z$18-X$18),$C$3-G10)</f>
        <v>114.83445476707917</v>
      </c>
      <c r="Y10" s="2"/>
      <c r="Z10" s="42">
        <f>Z8*$J$8+Z12*$J$12</f>
        <v>115.40437030833435</v>
      </c>
      <c r="AA10" s="2"/>
      <c r="AB10" s="41">
        <f>MAX(AD10/(1+$C$6)^(AD$18-AB$18),$C$3-L10)</f>
        <v>79.108306422380863</v>
      </c>
      <c r="AC10" s="58"/>
      <c r="AD10" s="42">
        <f>AD8*$J$8+AD12*$J$12</f>
        <v>79.500915534027186</v>
      </c>
      <c r="AE10" s="62"/>
    </row>
    <row r="11" spans="2:31" ht="14.4" thickBot="1" x14ac:dyDescent="0.35">
      <c r="B11" s="12" t="s">
        <v>12</v>
      </c>
      <c r="C11" s="39">
        <f>C9-C10</f>
        <v>119.2720316561264</v>
      </c>
      <c r="E11" s="11"/>
      <c r="AE11" s="62"/>
    </row>
    <row r="12" spans="2:31" x14ac:dyDescent="0.3">
      <c r="B12" s="11" t="s">
        <v>9</v>
      </c>
      <c r="C12" s="38">
        <f>X10</f>
        <v>114.83445476707917</v>
      </c>
      <c r="E12" s="11"/>
      <c r="I12" s="41">
        <f>C5</f>
        <v>564</v>
      </c>
      <c r="J12" s="69">
        <f>1-J8</f>
        <v>0.54452681872621356</v>
      </c>
      <c r="K12" s="2"/>
      <c r="L12" s="2"/>
      <c r="N12" s="41">
        <f>L14*C18</f>
        <v>564</v>
      </c>
      <c r="R12" s="41">
        <f>MAX(T12/(1+$C$6)^(T$18-R$18),I12-$C$3)</f>
        <v>35.176782621068803</v>
      </c>
      <c r="S12" s="2"/>
      <c r="T12" s="42">
        <f>T10*$J$8+T14*$J$12</f>
        <v>35.351362586182631</v>
      </c>
      <c r="U12" s="58"/>
      <c r="V12" s="41">
        <f>MAX(N12-$C$3,0)</f>
        <v>0</v>
      </c>
      <c r="Z12" s="41">
        <f>MAX(AB12/(1+$C$6)^(AB$18-Z$18),$C$3-I12)</f>
        <v>176.08137287284367</v>
      </c>
      <c r="AA12" s="2"/>
      <c r="AB12" s="42">
        <f>AB10*$J$8+AB14*$J$12</f>
        <v>176.95525267772737</v>
      </c>
      <c r="AC12" s="58"/>
      <c r="AD12" s="41">
        <f>MAX($C$3-N12,0)</f>
        <v>146</v>
      </c>
      <c r="AE12" s="62"/>
    </row>
    <row r="13" spans="2:31" x14ac:dyDescent="0.3">
      <c r="B13" s="11" t="s">
        <v>13</v>
      </c>
      <c r="C13" s="38">
        <f>MAX(C3-C2,0)</f>
        <v>5</v>
      </c>
      <c r="E13" s="11"/>
      <c r="I13" s="2"/>
      <c r="J13" s="15"/>
      <c r="K13" s="2"/>
      <c r="L13" s="2"/>
      <c r="R13" s="2"/>
      <c r="S13" s="2"/>
      <c r="T13" s="2"/>
      <c r="U13" s="2"/>
      <c r="V13" s="2"/>
      <c r="Z13" s="2"/>
      <c r="AA13" s="2"/>
      <c r="AB13" s="2"/>
      <c r="AC13" s="2"/>
      <c r="AD13" s="2"/>
      <c r="AE13" s="62"/>
    </row>
    <row r="14" spans="2:31" ht="14.4" thickBot="1" x14ac:dyDescent="0.35">
      <c r="B14" s="12" t="s">
        <v>14</v>
      </c>
      <c r="C14" s="39">
        <f>C12-C13</f>
        <v>109.83445476707917</v>
      </c>
      <c r="E14" s="11"/>
      <c r="I14" s="2"/>
      <c r="J14" s="15"/>
      <c r="K14" s="2"/>
      <c r="L14" s="41">
        <f>I12/G10*I12</f>
        <v>451.20000000000005</v>
      </c>
      <c r="R14" s="2"/>
      <c r="S14" s="2"/>
      <c r="T14" s="41">
        <f>MAX(V14/(1+$C$6)^(V$18-T$18),L14-$C$3)</f>
        <v>0</v>
      </c>
      <c r="U14" s="58"/>
      <c r="V14" s="42">
        <f>V12*$J$8+V16*$J$12</f>
        <v>0</v>
      </c>
      <c r="Z14" s="2"/>
      <c r="AA14" s="2"/>
      <c r="AB14" s="41">
        <f>MAX(AD14/(1+$C$6)^(AD$18-AB$18),$C$3-L14)</f>
        <v>258.79999999999995</v>
      </c>
      <c r="AC14" s="58"/>
      <c r="AD14" s="42">
        <f>AD12*$J$8+AD16*$J$12</f>
        <v>256.56072527417035</v>
      </c>
      <c r="AE14" s="62"/>
    </row>
    <row r="15" spans="2:31" x14ac:dyDescent="0.3">
      <c r="E15" s="11"/>
      <c r="AE15" s="62"/>
    </row>
    <row r="16" spans="2:31" x14ac:dyDescent="0.3">
      <c r="B16" s="1" t="s">
        <v>17</v>
      </c>
      <c r="C16" s="23">
        <f>C17/SQRT(12)</f>
        <v>2.8163146131069943E-2</v>
      </c>
      <c r="E16" s="11"/>
      <c r="I16" s="13"/>
      <c r="J16" s="17"/>
      <c r="K16" s="13"/>
      <c r="L16" s="13"/>
      <c r="N16" s="41">
        <f>L14*C19</f>
        <v>360.96000000000004</v>
      </c>
      <c r="P16" s="17"/>
      <c r="R16" s="13"/>
      <c r="T16" s="17"/>
      <c r="U16" s="17"/>
      <c r="V16" s="41">
        <f>MAX(N16-$C$3,0)</f>
        <v>0</v>
      </c>
      <c r="AB16" s="2"/>
      <c r="AC16" s="2"/>
      <c r="AD16" s="41">
        <f>MAX($C$3-N16,0)</f>
        <v>349.03999999999996</v>
      </c>
      <c r="AE16" s="62"/>
    </row>
    <row r="17" spans="2:31" x14ac:dyDescent="0.3">
      <c r="B17" s="1" t="s">
        <v>18</v>
      </c>
      <c r="C17" s="23">
        <f>Assumptions!B1</f>
        <v>9.7559999999999994E-2</v>
      </c>
      <c r="E17" s="11"/>
      <c r="P17" s="17"/>
      <c r="AE17" s="62"/>
    </row>
    <row r="18" spans="2:31" ht="14.4" thickBot="1" x14ac:dyDescent="0.35">
      <c r="B18" s="1" t="s">
        <v>19</v>
      </c>
      <c r="C18" s="13">
        <f>1.25</f>
        <v>1.25</v>
      </c>
      <c r="E18" s="63" t="s">
        <v>10</v>
      </c>
      <c r="F18" s="64"/>
      <c r="G18" s="65">
        <v>0</v>
      </c>
      <c r="H18" s="66"/>
      <c r="I18" s="65">
        <f>G18+$C$7</f>
        <v>0.25</v>
      </c>
      <c r="J18" s="67"/>
      <c r="K18" s="65"/>
      <c r="L18" s="65">
        <f>I18+$C$7</f>
        <v>0.5</v>
      </c>
      <c r="M18" s="67"/>
      <c r="N18" s="65">
        <f>L18+$C$7</f>
        <v>0.75</v>
      </c>
      <c r="O18" s="67"/>
      <c r="P18" s="67">
        <f>G18</f>
        <v>0</v>
      </c>
      <c r="Q18" s="67"/>
      <c r="R18" s="67">
        <f>P18+$C$7</f>
        <v>0.25</v>
      </c>
      <c r="S18" s="67"/>
      <c r="T18" s="67">
        <f>R18+$C$7</f>
        <v>0.5</v>
      </c>
      <c r="U18" s="67"/>
      <c r="V18" s="67">
        <f>T18+$C$7</f>
        <v>0.75</v>
      </c>
      <c r="W18" s="67"/>
      <c r="X18" s="67">
        <f>G18</f>
        <v>0</v>
      </c>
      <c r="Y18" s="67"/>
      <c r="Z18" s="67">
        <f>X18+$C$7</f>
        <v>0.25</v>
      </c>
      <c r="AA18" s="67"/>
      <c r="AB18" s="67">
        <f>Z18+$C$7</f>
        <v>0.5</v>
      </c>
      <c r="AC18" s="67"/>
      <c r="AD18" s="67">
        <f>AB18+$C$7</f>
        <v>0.75</v>
      </c>
      <c r="AE18" s="68"/>
    </row>
    <row r="19" spans="2:31" x14ac:dyDescent="0.3">
      <c r="B19" s="1" t="s">
        <v>20</v>
      </c>
      <c r="C19" s="13">
        <f>1/C18</f>
        <v>0.8</v>
      </c>
      <c r="I19" s="14"/>
    </row>
    <row r="21" spans="2:31" x14ac:dyDescent="0.3">
      <c r="C21" s="13">
        <f>C17*SQRT(C7)</f>
        <v>4.8779999999999997E-2</v>
      </c>
    </row>
    <row r="23" spans="2:31" x14ac:dyDescent="0.3">
      <c r="B23" s="153" t="s">
        <v>184</v>
      </c>
    </row>
    <row r="27" spans="2:31" x14ac:dyDescent="0.3">
      <c r="B27" s="193" t="s">
        <v>342</v>
      </c>
    </row>
  </sheetData>
  <hyperlinks>
    <hyperlink ref="B27" location="Assumptions!A1" display="Jump to front" xr:uid="{3DF95377-DC24-47DC-83A0-2F688103A377}"/>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7FF3-E23A-40FD-A423-F338BAE22A26}">
  <sheetPr codeName="Sheet25"/>
  <dimension ref="B1:L257"/>
  <sheetViews>
    <sheetView workbookViewId="0">
      <selection activeCell="M10" sqref="M10"/>
    </sheetView>
  </sheetViews>
  <sheetFormatPr defaultColWidth="9.109375" defaultRowHeight="13.8" x14ac:dyDescent="0.3"/>
  <cols>
    <col min="1" max="1" width="0.44140625" style="1" customWidth="1"/>
    <col min="2" max="2" width="32.44140625" style="1" bestFit="1" customWidth="1"/>
    <col min="3" max="7" width="9.109375" style="1"/>
    <col min="8" max="8" width="13.88671875" style="1" customWidth="1"/>
    <col min="9" max="16384" width="9.109375" style="1"/>
  </cols>
  <sheetData>
    <row r="1" spans="2:12" ht="7.5" customHeight="1" thickBot="1" x14ac:dyDescent="0.35"/>
    <row r="2" spans="2:12" x14ac:dyDescent="0.3">
      <c r="B2" s="29" t="s">
        <v>16</v>
      </c>
      <c r="C2" s="50">
        <v>1.2</v>
      </c>
      <c r="H2" t="s">
        <v>152</v>
      </c>
      <c r="I2" s="157" t="s">
        <v>185</v>
      </c>
    </row>
    <row r="3" spans="2:12" x14ac:dyDescent="0.3">
      <c r="B3" s="30" t="s">
        <v>0</v>
      </c>
      <c r="C3" s="52">
        <v>5</v>
      </c>
      <c r="H3" s="156">
        <v>0</v>
      </c>
      <c r="I3" s="157">
        <v>15.5154</v>
      </c>
    </row>
    <row r="4" spans="2:12" x14ac:dyDescent="0.3">
      <c r="B4" s="30" t="s">
        <v>22</v>
      </c>
      <c r="C4" s="27">
        <v>0.02</v>
      </c>
      <c r="H4" s="156">
        <v>1</v>
      </c>
      <c r="I4" s="157">
        <v>17.020600000000002</v>
      </c>
      <c r="J4" s="1">
        <f>LN(I4/I3)</f>
        <v>9.2591296098037762E-2</v>
      </c>
      <c r="L4" s="1">
        <f>_xlfn.STDEV.S(J4:J39)</f>
        <v>0.3503002678593779</v>
      </c>
    </row>
    <row r="5" spans="2:12" x14ac:dyDescent="0.3">
      <c r="B5" s="30" t="s">
        <v>23</v>
      </c>
      <c r="C5" s="27">
        <v>0.02</v>
      </c>
      <c r="H5" s="156">
        <v>2</v>
      </c>
      <c r="I5" s="157">
        <v>18.578299999999999</v>
      </c>
      <c r="J5" s="1">
        <f t="shared" ref="J5:J39" si="0">LN(I5/I4)</f>
        <v>8.7569857799332018E-2</v>
      </c>
      <c r="L5" s="23"/>
    </row>
    <row r="6" spans="2:12" ht="14.4" thickBot="1" x14ac:dyDescent="0.35">
      <c r="B6" s="30" t="s">
        <v>4</v>
      </c>
      <c r="C6" s="31">
        <f>8/12</f>
        <v>0.66666666666666663</v>
      </c>
      <c r="H6" s="156">
        <v>3</v>
      </c>
      <c r="I6" s="157">
        <v>13.100199999999999</v>
      </c>
      <c r="J6" s="1">
        <f t="shared" si="0"/>
        <v>-0.34936673570101245</v>
      </c>
      <c r="L6" s="23">
        <f>L4*SQRT(12)</f>
        <v>1.213475723674859</v>
      </c>
    </row>
    <row r="7" spans="2:12" x14ac:dyDescent="0.3">
      <c r="B7" s="32" t="s">
        <v>24</v>
      </c>
      <c r="C7" s="53">
        <f>C2*C16-C3*EXP(-C4*C6)*C17</f>
        <v>7.6343423601494514E-2</v>
      </c>
      <c r="E7" s="17"/>
      <c r="F7" s="17"/>
      <c r="H7" s="156">
        <v>4</v>
      </c>
      <c r="I7" s="157">
        <v>13.7828</v>
      </c>
      <c r="J7" s="1">
        <f t="shared" si="0"/>
        <v>5.0793940711849637E-2</v>
      </c>
    </row>
    <row r="8" spans="2:12" x14ac:dyDescent="0.3">
      <c r="B8" s="30" t="s">
        <v>11</v>
      </c>
      <c r="C8" s="52">
        <f>MAX(C2-C3,0)</f>
        <v>0</v>
      </c>
      <c r="E8" s="58"/>
      <c r="F8" s="58"/>
      <c r="H8" s="156">
        <v>5</v>
      </c>
      <c r="I8" s="157">
        <v>13.249000000000001</v>
      </c>
      <c r="J8" s="1">
        <f t="shared" si="0"/>
        <v>-3.9499360091999634E-2</v>
      </c>
    </row>
    <row r="9" spans="2:12" ht="14.4" thickBot="1" x14ac:dyDescent="0.35">
      <c r="B9" s="33" t="s">
        <v>12</v>
      </c>
      <c r="C9" s="54">
        <f>C7-C8</f>
        <v>7.6343423601494514E-2</v>
      </c>
      <c r="E9" s="58"/>
      <c r="F9" s="58"/>
      <c r="H9" s="156">
        <v>6</v>
      </c>
      <c r="I9" s="157">
        <v>15.410399999999999</v>
      </c>
      <c r="J9" s="1">
        <f t="shared" si="0"/>
        <v>0.151120528279825</v>
      </c>
    </row>
    <row r="10" spans="2:12" x14ac:dyDescent="0.3">
      <c r="B10" s="32" t="s">
        <v>25</v>
      </c>
      <c r="C10" s="53">
        <f>C3*EXP(-C4*C6)*C19-C2*C18</f>
        <v>3.8101192326374731</v>
      </c>
      <c r="H10" s="156">
        <v>7</v>
      </c>
      <c r="I10" s="157">
        <v>14.3691</v>
      </c>
      <c r="J10" s="1">
        <f t="shared" si="0"/>
        <v>-6.9962538516415082E-2</v>
      </c>
    </row>
    <row r="11" spans="2:12" x14ac:dyDescent="0.3">
      <c r="B11" s="30" t="s">
        <v>13</v>
      </c>
      <c r="C11" s="52">
        <f>MAX(C3-C2,0)</f>
        <v>3.8</v>
      </c>
      <c r="H11" s="156">
        <v>8</v>
      </c>
      <c r="I11" s="157">
        <v>12.7064</v>
      </c>
      <c r="J11" s="1">
        <f t="shared" si="0"/>
        <v>-0.12297426411058782</v>
      </c>
    </row>
    <row r="12" spans="2:12" ht="14.4" thickBot="1" x14ac:dyDescent="0.35">
      <c r="B12" s="33" t="s">
        <v>14</v>
      </c>
      <c r="C12" s="54">
        <f>C10-C11</f>
        <v>1.0119232637473274E-2</v>
      </c>
      <c r="H12" s="156">
        <v>9</v>
      </c>
      <c r="I12" s="157">
        <v>16.136800000000001</v>
      </c>
      <c r="J12" s="1">
        <f t="shared" si="0"/>
        <v>0.23899657446617767</v>
      </c>
    </row>
    <row r="13" spans="2:12" x14ac:dyDescent="0.3">
      <c r="B13" s="32" t="s">
        <v>26</v>
      </c>
      <c r="C13" s="28">
        <f>L6</f>
        <v>1.213475723674859</v>
      </c>
      <c r="H13" s="156">
        <v>10</v>
      </c>
      <c r="I13" s="157">
        <v>11.9451</v>
      </c>
      <c r="J13" s="1">
        <f t="shared" si="0"/>
        <v>-0.30078122555861397</v>
      </c>
    </row>
    <row r="14" spans="2:12" x14ac:dyDescent="0.3">
      <c r="B14" s="30" t="s">
        <v>27</v>
      </c>
      <c r="C14" s="34">
        <f>(LN(C2/C3)+(C4+C13^2/2)*C6)/(C13*SQRT(C6))</f>
        <v>-0.93151296794926963</v>
      </c>
      <c r="H14" s="156">
        <v>11</v>
      </c>
      <c r="I14" s="157">
        <v>14.6229</v>
      </c>
      <c r="J14" s="1">
        <f t="shared" si="0"/>
        <v>0.20226764061796412</v>
      </c>
    </row>
    <row r="15" spans="2:12" x14ac:dyDescent="0.3">
      <c r="B15" s="30" t="s">
        <v>28</v>
      </c>
      <c r="C15" s="34">
        <f>C14-C13*SQRT(C6)</f>
        <v>-1.9223117473685902</v>
      </c>
      <c r="H15" s="156">
        <v>12</v>
      </c>
      <c r="I15" s="157">
        <v>16.9331</v>
      </c>
      <c r="J15" s="1">
        <f t="shared" si="0"/>
        <v>0.1466814932294927</v>
      </c>
    </row>
    <row r="16" spans="2:12" x14ac:dyDescent="0.3">
      <c r="B16" s="30" t="s">
        <v>29</v>
      </c>
      <c r="C16" s="34">
        <f>NORMSDIST(C14)</f>
        <v>0.17579413985267997</v>
      </c>
      <c r="H16" s="156">
        <v>13</v>
      </c>
      <c r="I16" s="157">
        <v>15.261699999999999</v>
      </c>
      <c r="J16" s="1">
        <f t="shared" si="0"/>
        <v>-0.10392386428319123</v>
      </c>
    </row>
    <row r="17" spans="2:10" x14ac:dyDescent="0.3">
      <c r="B17" s="30" t="s">
        <v>30</v>
      </c>
      <c r="C17" s="34">
        <f>NORMSDIST(C15)</f>
        <v>2.7283271358862798E-2</v>
      </c>
      <c r="H17" s="156">
        <v>14</v>
      </c>
      <c r="I17" s="157">
        <v>16.101700000000001</v>
      </c>
      <c r="J17" s="1">
        <f t="shared" si="0"/>
        <v>5.3578434467653195E-2</v>
      </c>
    </row>
    <row r="18" spans="2:10" x14ac:dyDescent="0.3">
      <c r="B18" s="30" t="s">
        <v>31</v>
      </c>
      <c r="C18" s="34">
        <f>NORMSDIST(-C14)</f>
        <v>0.82420586014732</v>
      </c>
      <c r="H18" s="156">
        <v>15</v>
      </c>
      <c r="I18" s="157">
        <v>12.373900000000001</v>
      </c>
      <c r="J18" s="1">
        <f t="shared" si="0"/>
        <v>-0.26333544086327726</v>
      </c>
    </row>
    <row r="19" spans="2:10" ht="14.4" thickBot="1" x14ac:dyDescent="0.35">
      <c r="B19" s="33" t="s">
        <v>32</v>
      </c>
      <c r="C19" s="35">
        <f>NORMSDIST(-C15)</f>
        <v>0.97271672864113723</v>
      </c>
      <c r="H19" s="156">
        <v>16</v>
      </c>
      <c r="I19" s="157">
        <v>15.66</v>
      </c>
      <c r="J19" s="1">
        <f t="shared" si="0"/>
        <v>0.2355202749476433</v>
      </c>
    </row>
    <row r="20" spans="2:10" x14ac:dyDescent="0.3">
      <c r="B20" s="32"/>
      <c r="C20" s="32"/>
      <c r="H20" s="156">
        <v>17</v>
      </c>
      <c r="I20" s="157">
        <v>14.89</v>
      </c>
      <c r="J20" s="1">
        <f t="shared" si="0"/>
        <v>-5.0419843866739436E-2</v>
      </c>
    </row>
    <row r="21" spans="2:10" x14ac:dyDescent="0.3">
      <c r="C21" s="13"/>
      <c r="H21" s="156">
        <v>18</v>
      </c>
      <c r="I21" s="157">
        <v>12.11</v>
      </c>
      <c r="J21" s="1">
        <f t="shared" si="0"/>
        <v>-0.20665828913091674</v>
      </c>
    </row>
    <row r="22" spans="2:10" x14ac:dyDescent="0.3">
      <c r="B22" s="1" t="s">
        <v>150</v>
      </c>
      <c r="C22" s="13">
        <f>C10</f>
        <v>3.8101192326374731</v>
      </c>
      <c r="H22" s="156">
        <v>19</v>
      </c>
      <c r="I22" s="157">
        <v>13.54</v>
      </c>
      <c r="J22" s="1">
        <f t="shared" si="0"/>
        <v>0.11161670991912796</v>
      </c>
    </row>
    <row r="23" spans="2:10" x14ac:dyDescent="0.3">
      <c r="C23" s="13"/>
      <c r="H23" s="156">
        <v>20</v>
      </c>
      <c r="I23" s="157">
        <v>13.74</v>
      </c>
      <c r="J23" s="1">
        <f t="shared" si="0"/>
        <v>1.466301931007449E-2</v>
      </c>
    </row>
    <row r="24" spans="2:10" x14ac:dyDescent="0.3">
      <c r="H24" s="156">
        <v>21</v>
      </c>
      <c r="I24" s="157">
        <v>15.32</v>
      </c>
      <c r="J24" s="1">
        <f t="shared" si="0"/>
        <v>0.10884787751824203</v>
      </c>
    </row>
    <row r="25" spans="2:10" x14ac:dyDescent="0.3">
      <c r="H25" s="156">
        <v>22</v>
      </c>
      <c r="I25" s="157">
        <v>15.75</v>
      </c>
      <c r="J25" s="1">
        <f t="shared" si="0"/>
        <v>2.7681200959196722E-2</v>
      </c>
    </row>
    <row r="26" spans="2:10" x14ac:dyDescent="0.3">
      <c r="H26" s="156">
        <v>23</v>
      </c>
      <c r="I26" s="157">
        <v>15.87</v>
      </c>
      <c r="J26" s="1">
        <f t="shared" si="0"/>
        <v>7.5901692666756528E-3</v>
      </c>
    </row>
    <row r="27" spans="2:10" x14ac:dyDescent="0.3">
      <c r="H27" s="156">
        <v>24</v>
      </c>
      <c r="I27" s="157">
        <v>12.53</v>
      </c>
      <c r="J27" s="1">
        <f t="shared" si="0"/>
        <v>-0.23630476563034075</v>
      </c>
    </row>
    <row r="28" spans="2:10" x14ac:dyDescent="0.3">
      <c r="B28" s="193" t="s">
        <v>342</v>
      </c>
      <c r="H28" s="156">
        <v>25</v>
      </c>
      <c r="I28" s="157">
        <v>5.47</v>
      </c>
      <c r="J28" s="1">
        <f t="shared" si="0"/>
        <v>-0.82884715247408713</v>
      </c>
    </row>
    <row r="29" spans="2:10" x14ac:dyDescent="0.3">
      <c r="H29" s="156">
        <v>26</v>
      </c>
      <c r="I29" s="157">
        <v>3.51</v>
      </c>
      <c r="J29" s="1">
        <f t="shared" si="0"/>
        <v>-0.44366257895611544</v>
      </c>
    </row>
    <row r="30" spans="2:10" x14ac:dyDescent="0.3">
      <c r="H30" s="156">
        <v>27</v>
      </c>
      <c r="I30" s="157">
        <v>0.89029999999999998</v>
      </c>
      <c r="J30" s="1">
        <f t="shared" si="0"/>
        <v>-1.371812831880286</v>
      </c>
    </row>
    <row r="31" spans="2:10" x14ac:dyDescent="0.3">
      <c r="H31" s="156">
        <v>28</v>
      </c>
      <c r="I31" s="157">
        <v>1.47</v>
      </c>
      <c r="J31" s="1">
        <f t="shared" si="0"/>
        <v>0.5014591951931564</v>
      </c>
    </row>
    <row r="32" spans="2:10" x14ac:dyDescent="0.3">
      <c r="H32" s="156">
        <v>29</v>
      </c>
      <c r="I32" s="157">
        <v>1.4</v>
      </c>
      <c r="J32" s="1">
        <f t="shared" si="0"/>
        <v>-4.8790164169432056E-2</v>
      </c>
    </row>
    <row r="33" spans="8:10" x14ac:dyDescent="0.3">
      <c r="H33" s="156">
        <v>30</v>
      </c>
      <c r="I33" s="157">
        <v>1.43</v>
      </c>
      <c r="J33" s="1">
        <f t="shared" si="0"/>
        <v>2.1202207650602906E-2</v>
      </c>
    </row>
    <row r="34" spans="8:10" x14ac:dyDescent="0.3">
      <c r="H34" s="156">
        <v>31</v>
      </c>
      <c r="I34" s="157">
        <v>1.1000000000000001</v>
      </c>
      <c r="J34" s="1">
        <f t="shared" si="0"/>
        <v>-0.262364264467491</v>
      </c>
    </row>
    <row r="35" spans="8:10" x14ac:dyDescent="0.3">
      <c r="H35" s="156">
        <v>32</v>
      </c>
      <c r="I35" s="157">
        <v>0.89490000000000003</v>
      </c>
      <c r="J35" s="1">
        <f t="shared" si="0"/>
        <v>-0.20635347859764949</v>
      </c>
    </row>
    <row r="36" spans="8:10" x14ac:dyDescent="0.3">
      <c r="H36" s="156">
        <v>33</v>
      </c>
      <c r="I36" s="157">
        <v>1.71</v>
      </c>
      <c r="J36" s="1">
        <f t="shared" si="0"/>
        <v>0.64753666930789289</v>
      </c>
    </row>
    <row r="37" spans="8:10" x14ac:dyDescent="0.3">
      <c r="H37" s="156">
        <v>34</v>
      </c>
      <c r="I37" s="157">
        <v>1.28</v>
      </c>
      <c r="J37" s="1">
        <f t="shared" si="0"/>
        <v>-0.2896332925830426</v>
      </c>
    </row>
    <row r="38" spans="8:10" x14ac:dyDescent="0.3">
      <c r="H38" s="156">
        <v>35</v>
      </c>
      <c r="I38" s="157">
        <v>1.831</v>
      </c>
      <c r="J38" s="1">
        <f t="shared" si="0"/>
        <v>0.35800218776084786</v>
      </c>
    </row>
    <row r="39" spans="8:10" x14ac:dyDescent="0.3">
      <c r="H39" s="156">
        <v>36</v>
      </c>
      <c r="I39" s="157">
        <v>1.64</v>
      </c>
      <c r="J39" s="1">
        <f t="shared" si="0"/>
        <v>-0.11016602385626661</v>
      </c>
    </row>
    <row r="40" spans="8:10" x14ac:dyDescent="0.3">
      <c r="H40" s="150"/>
      <c r="I40" s="17"/>
    </row>
    <row r="41" spans="8:10" x14ac:dyDescent="0.3">
      <c r="H41" s="150"/>
      <c r="I41" s="17"/>
    </row>
    <row r="42" spans="8:10" x14ac:dyDescent="0.3">
      <c r="H42" s="150"/>
      <c r="I42" s="17"/>
    </row>
    <row r="43" spans="8:10" x14ac:dyDescent="0.3">
      <c r="H43" s="150"/>
      <c r="I43" s="17"/>
    </row>
    <row r="44" spans="8:10" x14ac:dyDescent="0.3">
      <c r="H44" s="150"/>
      <c r="I44" s="17"/>
    </row>
    <row r="45" spans="8:10" x14ac:dyDescent="0.3">
      <c r="H45" s="150"/>
      <c r="I45" s="17"/>
    </row>
    <row r="46" spans="8:10" x14ac:dyDescent="0.3">
      <c r="H46" s="150"/>
      <c r="I46" s="17"/>
    </row>
    <row r="47" spans="8:10" x14ac:dyDescent="0.3">
      <c r="H47" s="150"/>
      <c r="I47" s="17"/>
    </row>
    <row r="48" spans="8:10" x14ac:dyDescent="0.3">
      <c r="H48" s="150"/>
      <c r="I48" s="17"/>
    </row>
    <row r="49" spans="8:9" x14ac:dyDescent="0.3">
      <c r="H49" s="150"/>
      <c r="I49" s="17"/>
    </row>
    <row r="50" spans="8:9" x14ac:dyDescent="0.3">
      <c r="H50" s="150"/>
      <c r="I50" s="17"/>
    </row>
    <row r="51" spans="8:9" x14ac:dyDescent="0.3">
      <c r="H51" s="150"/>
      <c r="I51" s="17"/>
    </row>
    <row r="52" spans="8:9" x14ac:dyDescent="0.3">
      <c r="H52" s="150"/>
      <c r="I52" s="17"/>
    </row>
    <row r="53" spans="8:9" x14ac:dyDescent="0.3">
      <c r="H53" s="150"/>
      <c r="I53" s="17"/>
    </row>
    <row r="54" spans="8:9" x14ac:dyDescent="0.3">
      <c r="H54" s="150"/>
      <c r="I54" s="17"/>
    </row>
    <row r="55" spans="8:9" x14ac:dyDescent="0.3">
      <c r="H55" s="150"/>
      <c r="I55" s="17"/>
    </row>
    <row r="56" spans="8:9" x14ac:dyDescent="0.3">
      <c r="H56" s="150"/>
      <c r="I56" s="17"/>
    </row>
    <row r="57" spans="8:9" x14ac:dyDescent="0.3">
      <c r="H57" s="150"/>
      <c r="I57" s="17"/>
    </row>
    <row r="58" spans="8:9" x14ac:dyDescent="0.3">
      <c r="H58" s="150"/>
      <c r="I58" s="17"/>
    </row>
    <row r="59" spans="8:9" x14ac:dyDescent="0.3">
      <c r="H59" s="150"/>
      <c r="I59" s="17"/>
    </row>
    <row r="60" spans="8:9" x14ac:dyDescent="0.3">
      <c r="H60" s="150"/>
      <c r="I60" s="17"/>
    </row>
    <row r="61" spans="8:9" x14ac:dyDescent="0.3">
      <c r="H61" s="150"/>
      <c r="I61" s="17"/>
    </row>
    <row r="62" spans="8:9" x14ac:dyDescent="0.3">
      <c r="H62" s="150"/>
      <c r="I62" s="17"/>
    </row>
    <row r="63" spans="8:9" x14ac:dyDescent="0.3">
      <c r="H63" s="150"/>
      <c r="I63" s="17"/>
    </row>
    <row r="64" spans="8:9" x14ac:dyDescent="0.3">
      <c r="H64" s="150"/>
      <c r="I64" s="17"/>
    </row>
    <row r="65" spans="8:9" x14ac:dyDescent="0.3">
      <c r="H65" s="150"/>
      <c r="I65" s="17"/>
    </row>
    <row r="66" spans="8:9" x14ac:dyDescent="0.3">
      <c r="H66" s="150"/>
      <c r="I66" s="17"/>
    </row>
    <row r="67" spans="8:9" x14ac:dyDescent="0.3">
      <c r="H67" s="150"/>
      <c r="I67" s="17"/>
    </row>
    <row r="68" spans="8:9" x14ac:dyDescent="0.3">
      <c r="H68" s="150"/>
      <c r="I68" s="17"/>
    </row>
    <row r="69" spans="8:9" x14ac:dyDescent="0.3">
      <c r="H69" s="150"/>
      <c r="I69" s="17"/>
    </row>
    <row r="70" spans="8:9" x14ac:dyDescent="0.3">
      <c r="H70" s="150"/>
      <c r="I70" s="17"/>
    </row>
    <row r="71" spans="8:9" x14ac:dyDescent="0.3">
      <c r="H71" s="150"/>
      <c r="I71" s="17"/>
    </row>
    <row r="72" spans="8:9" x14ac:dyDescent="0.3">
      <c r="H72" s="150"/>
      <c r="I72" s="17"/>
    </row>
    <row r="73" spans="8:9" x14ac:dyDescent="0.3">
      <c r="H73" s="150"/>
      <c r="I73" s="17"/>
    </row>
    <row r="74" spans="8:9" x14ac:dyDescent="0.3">
      <c r="H74" s="150"/>
      <c r="I74" s="17"/>
    </row>
    <row r="75" spans="8:9" x14ac:dyDescent="0.3">
      <c r="H75" s="150"/>
      <c r="I75" s="17"/>
    </row>
    <row r="76" spans="8:9" x14ac:dyDescent="0.3">
      <c r="H76" s="150"/>
      <c r="I76" s="17"/>
    </row>
    <row r="77" spans="8:9" x14ac:dyDescent="0.3">
      <c r="H77" s="150"/>
      <c r="I77" s="17"/>
    </row>
    <row r="78" spans="8:9" x14ac:dyDescent="0.3">
      <c r="H78" s="150"/>
      <c r="I78" s="17"/>
    </row>
    <row r="79" spans="8:9" x14ac:dyDescent="0.3">
      <c r="H79" s="150"/>
      <c r="I79" s="17"/>
    </row>
    <row r="80" spans="8:9" x14ac:dyDescent="0.3">
      <c r="H80" s="150"/>
      <c r="I80" s="17"/>
    </row>
    <row r="81" spans="8:9" x14ac:dyDescent="0.3">
      <c r="H81" s="150"/>
      <c r="I81" s="17"/>
    </row>
    <row r="82" spans="8:9" x14ac:dyDescent="0.3">
      <c r="H82" s="150"/>
      <c r="I82" s="17"/>
    </row>
    <row r="83" spans="8:9" x14ac:dyDescent="0.3">
      <c r="H83" s="150"/>
      <c r="I83" s="17"/>
    </row>
    <row r="84" spans="8:9" x14ac:dyDescent="0.3">
      <c r="H84" s="150"/>
      <c r="I84" s="17"/>
    </row>
    <row r="85" spans="8:9" x14ac:dyDescent="0.3">
      <c r="H85" s="150"/>
      <c r="I85" s="17"/>
    </row>
    <row r="86" spans="8:9" x14ac:dyDescent="0.3">
      <c r="H86" s="150"/>
      <c r="I86" s="17"/>
    </row>
    <row r="87" spans="8:9" x14ac:dyDescent="0.3">
      <c r="H87" s="150"/>
      <c r="I87" s="17"/>
    </row>
    <row r="88" spans="8:9" x14ac:dyDescent="0.3">
      <c r="H88" s="150"/>
      <c r="I88" s="17"/>
    </row>
    <row r="89" spans="8:9" x14ac:dyDescent="0.3">
      <c r="H89" s="150"/>
      <c r="I89" s="17"/>
    </row>
    <row r="90" spans="8:9" x14ac:dyDescent="0.3">
      <c r="H90" s="150"/>
      <c r="I90" s="17"/>
    </row>
    <row r="91" spans="8:9" x14ac:dyDescent="0.3">
      <c r="H91" s="150"/>
      <c r="I91" s="17"/>
    </row>
    <row r="92" spans="8:9" x14ac:dyDescent="0.3">
      <c r="H92" s="150"/>
      <c r="I92" s="17"/>
    </row>
    <row r="93" spans="8:9" x14ac:dyDescent="0.3">
      <c r="H93" s="150"/>
      <c r="I93" s="17"/>
    </row>
    <row r="94" spans="8:9" x14ac:dyDescent="0.3">
      <c r="H94" s="150"/>
      <c r="I94" s="17"/>
    </row>
    <row r="95" spans="8:9" x14ac:dyDescent="0.3">
      <c r="H95" s="150"/>
      <c r="I95" s="17"/>
    </row>
    <row r="96" spans="8:9" x14ac:dyDescent="0.3">
      <c r="H96" s="150"/>
      <c r="I96" s="17"/>
    </row>
    <row r="97" spans="8:9" x14ac:dyDescent="0.3">
      <c r="H97" s="150"/>
      <c r="I97" s="17"/>
    </row>
    <row r="98" spans="8:9" x14ac:dyDescent="0.3">
      <c r="H98" s="150"/>
      <c r="I98" s="17"/>
    </row>
    <row r="99" spans="8:9" x14ac:dyDescent="0.3">
      <c r="H99" s="150"/>
      <c r="I99" s="17"/>
    </row>
    <row r="100" spans="8:9" x14ac:dyDescent="0.3">
      <c r="H100" s="150"/>
      <c r="I100" s="17"/>
    </row>
    <row r="101" spans="8:9" x14ac:dyDescent="0.3">
      <c r="H101" s="150"/>
      <c r="I101" s="17"/>
    </row>
    <row r="102" spans="8:9" x14ac:dyDescent="0.3">
      <c r="H102" s="150"/>
      <c r="I102" s="17"/>
    </row>
    <row r="103" spans="8:9" x14ac:dyDescent="0.3">
      <c r="H103" s="150"/>
      <c r="I103" s="17"/>
    </row>
    <row r="104" spans="8:9" x14ac:dyDescent="0.3">
      <c r="H104" s="150"/>
      <c r="I104" s="17"/>
    </row>
    <row r="105" spans="8:9" x14ac:dyDescent="0.3">
      <c r="H105" s="150"/>
      <c r="I105" s="17"/>
    </row>
    <row r="106" spans="8:9" x14ac:dyDescent="0.3">
      <c r="H106" s="150"/>
      <c r="I106" s="17"/>
    </row>
    <row r="107" spans="8:9" x14ac:dyDescent="0.3">
      <c r="H107" s="150"/>
      <c r="I107" s="17"/>
    </row>
    <row r="108" spans="8:9" x14ac:dyDescent="0.3">
      <c r="H108" s="150"/>
      <c r="I108" s="17"/>
    </row>
    <row r="109" spans="8:9" x14ac:dyDescent="0.3">
      <c r="H109" s="150"/>
      <c r="I109" s="17"/>
    </row>
    <row r="110" spans="8:9" x14ac:dyDescent="0.3">
      <c r="H110" s="150"/>
      <c r="I110" s="17"/>
    </row>
    <row r="111" spans="8:9" x14ac:dyDescent="0.3">
      <c r="H111" s="150"/>
      <c r="I111" s="17"/>
    </row>
    <row r="112" spans="8:9" x14ac:dyDescent="0.3">
      <c r="H112" s="150"/>
      <c r="I112" s="17"/>
    </row>
    <row r="113" spans="8:9" x14ac:dyDescent="0.3">
      <c r="H113" s="150"/>
      <c r="I113" s="17"/>
    </row>
    <row r="114" spans="8:9" x14ac:dyDescent="0.3">
      <c r="H114" s="150"/>
      <c r="I114" s="17"/>
    </row>
    <row r="115" spans="8:9" x14ac:dyDescent="0.3">
      <c r="H115" s="150"/>
      <c r="I115" s="17"/>
    </row>
    <row r="116" spans="8:9" x14ac:dyDescent="0.3">
      <c r="H116" s="150"/>
      <c r="I116" s="17"/>
    </row>
    <row r="117" spans="8:9" x14ac:dyDescent="0.3">
      <c r="H117" s="150"/>
      <c r="I117" s="17"/>
    </row>
    <row r="118" spans="8:9" x14ac:dyDescent="0.3">
      <c r="H118" s="150"/>
      <c r="I118" s="17"/>
    </row>
    <row r="119" spans="8:9" x14ac:dyDescent="0.3">
      <c r="H119" s="150"/>
      <c r="I119" s="17"/>
    </row>
    <row r="120" spans="8:9" x14ac:dyDescent="0.3">
      <c r="H120" s="150"/>
      <c r="I120" s="17"/>
    </row>
    <row r="121" spans="8:9" x14ac:dyDescent="0.3">
      <c r="H121" s="150"/>
      <c r="I121" s="17"/>
    </row>
    <row r="122" spans="8:9" x14ac:dyDescent="0.3">
      <c r="H122" s="150"/>
      <c r="I122" s="17"/>
    </row>
    <row r="123" spans="8:9" x14ac:dyDescent="0.3">
      <c r="H123" s="150"/>
      <c r="I123" s="17"/>
    </row>
    <row r="124" spans="8:9" x14ac:dyDescent="0.3">
      <c r="H124" s="150"/>
      <c r="I124" s="17"/>
    </row>
    <row r="125" spans="8:9" x14ac:dyDescent="0.3">
      <c r="H125" s="150"/>
      <c r="I125" s="17"/>
    </row>
    <row r="126" spans="8:9" x14ac:dyDescent="0.3">
      <c r="H126" s="150"/>
      <c r="I126" s="17"/>
    </row>
    <row r="127" spans="8:9" x14ac:dyDescent="0.3">
      <c r="H127" s="150"/>
      <c r="I127" s="17"/>
    </row>
    <row r="128" spans="8:9" x14ac:dyDescent="0.3">
      <c r="H128" s="150"/>
      <c r="I128" s="17"/>
    </row>
    <row r="129" spans="8:9" x14ac:dyDescent="0.3">
      <c r="H129" s="150"/>
      <c r="I129" s="17"/>
    </row>
    <row r="130" spans="8:9" x14ac:dyDescent="0.3">
      <c r="H130" s="150"/>
      <c r="I130" s="17"/>
    </row>
    <row r="131" spans="8:9" x14ac:dyDescent="0.3">
      <c r="H131" s="150"/>
      <c r="I131" s="17"/>
    </row>
    <row r="132" spans="8:9" x14ac:dyDescent="0.3">
      <c r="H132" s="150"/>
      <c r="I132" s="17"/>
    </row>
    <row r="133" spans="8:9" x14ac:dyDescent="0.3">
      <c r="H133" s="150"/>
      <c r="I133" s="17"/>
    </row>
    <row r="134" spans="8:9" x14ac:dyDescent="0.3">
      <c r="H134" s="150"/>
      <c r="I134" s="17"/>
    </row>
    <row r="135" spans="8:9" x14ac:dyDescent="0.3">
      <c r="H135" s="150"/>
      <c r="I135" s="17"/>
    </row>
    <row r="136" spans="8:9" x14ac:dyDescent="0.3">
      <c r="H136" s="150"/>
      <c r="I136" s="17"/>
    </row>
    <row r="137" spans="8:9" x14ac:dyDescent="0.3">
      <c r="H137" s="150"/>
      <c r="I137" s="17"/>
    </row>
    <row r="138" spans="8:9" x14ac:dyDescent="0.3">
      <c r="H138" s="150"/>
      <c r="I138" s="17"/>
    </row>
    <row r="139" spans="8:9" x14ac:dyDescent="0.3">
      <c r="H139" s="150"/>
      <c r="I139" s="17"/>
    </row>
    <row r="140" spans="8:9" x14ac:dyDescent="0.3">
      <c r="H140" s="150"/>
      <c r="I140" s="17"/>
    </row>
    <row r="141" spans="8:9" x14ac:dyDescent="0.3">
      <c r="H141" s="150"/>
      <c r="I141" s="17"/>
    </row>
    <row r="142" spans="8:9" x14ac:dyDescent="0.3">
      <c r="H142" s="150"/>
      <c r="I142" s="17"/>
    </row>
    <row r="143" spans="8:9" x14ac:dyDescent="0.3">
      <c r="H143" s="150"/>
      <c r="I143" s="17"/>
    </row>
    <row r="144" spans="8:9" x14ac:dyDescent="0.3">
      <c r="H144" s="150"/>
      <c r="I144" s="17"/>
    </row>
    <row r="145" spans="8:9" x14ac:dyDescent="0.3">
      <c r="H145" s="150"/>
      <c r="I145" s="17"/>
    </row>
    <row r="146" spans="8:9" x14ac:dyDescent="0.3">
      <c r="H146" s="150"/>
      <c r="I146" s="17"/>
    </row>
    <row r="147" spans="8:9" x14ac:dyDescent="0.3">
      <c r="H147" s="150"/>
      <c r="I147" s="17"/>
    </row>
    <row r="148" spans="8:9" x14ac:dyDescent="0.3">
      <c r="H148" s="150"/>
      <c r="I148" s="17"/>
    </row>
    <row r="149" spans="8:9" x14ac:dyDescent="0.3">
      <c r="H149" s="150"/>
      <c r="I149" s="17"/>
    </row>
    <row r="150" spans="8:9" x14ac:dyDescent="0.3">
      <c r="H150" s="150"/>
      <c r="I150" s="17"/>
    </row>
    <row r="151" spans="8:9" x14ac:dyDescent="0.3">
      <c r="H151" s="150"/>
      <c r="I151" s="17"/>
    </row>
    <row r="152" spans="8:9" x14ac:dyDescent="0.3">
      <c r="H152" s="150"/>
      <c r="I152" s="17"/>
    </row>
    <row r="153" spans="8:9" x14ac:dyDescent="0.3">
      <c r="H153" s="150"/>
      <c r="I153" s="17"/>
    </row>
    <row r="154" spans="8:9" x14ac:dyDescent="0.3">
      <c r="H154" s="150"/>
      <c r="I154" s="17"/>
    </row>
    <row r="155" spans="8:9" x14ac:dyDescent="0.3">
      <c r="H155" s="150"/>
      <c r="I155" s="17"/>
    </row>
    <row r="156" spans="8:9" x14ac:dyDescent="0.3">
      <c r="H156" s="150"/>
      <c r="I156" s="17"/>
    </row>
    <row r="157" spans="8:9" x14ac:dyDescent="0.3">
      <c r="H157" s="150"/>
      <c r="I157" s="17"/>
    </row>
    <row r="158" spans="8:9" x14ac:dyDescent="0.3">
      <c r="H158" s="150"/>
      <c r="I158" s="17"/>
    </row>
    <row r="159" spans="8:9" x14ac:dyDescent="0.3">
      <c r="H159" s="150"/>
      <c r="I159" s="17"/>
    </row>
    <row r="160" spans="8:9" x14ac:dyDescent="0.3">
      <c r="H160" s="150"/>
      <c r="I160" s="17"/>
    </row>
    <row r="161" spans="8:9" x14ac:dyDescent="0.3">
      <c r="H161" s="150"/>
      <c r="I161" s="17"/>
    </row>
    <row r="162" spans="8:9" x14ac:dyDescent="0.3">
      <c r="H162" s="150"/>
      <c r="I162" s="17"/>
    </row>
    <row r="163" spans="8:9" x14ac:dyDescent="0.3">
      <c r="H163" s="150"/>
      <c r="I163" s="17"/>
    </row>
    <row r="164" spans="8:9" x14ac:dyDescent="0.3">
      <c r="H164" s="150"/>
      <c r="I164" s="17"/>
    </row>
    <row r="165" spans="8:9" x14ac:dyDescent="0.3">
      <c r="H165" s="150"/>
      <c r="I165" s="17"/>
    </row>
    <row r="166" spans="8:9" x14ac:dyDescent="0.3">
      <c r="H166" s="150"/>
      <c r="I166" s="17"/>
    </row>
    <row r="167" spans="8:9" x14ac:dyDescent="0.3">
      <c r="H167" s="150"/>
      <c r="I167" s="17"/>
    </row>
    <row r="168" spans="8:9" x14ac:dyDescent="0.3">
      <c r="H168" s="150"/>
      <c r="I168" s="17"/>
    </row>
    <row r="169" spans="8:9" x14ac:dyDescent="0.3">
      <c r="H169" s="150"/>
      <c r="I169" s="17"/>
    </row>
    <row r="170" spans="8:9" x14ac:dyDescent="0.3">
      <c r="H170" s="150"/>
      <c r="I170" s="17"/>
    </row>
    <row r="171" spans="8:9" x14ac:dyDescent="0.3">
      <c r="H171" s="150"/>
      <c r="I171" s="17"/>
    </row>
    <row r="172" spans="8:9" x14ac:dyDescent="0.3">
      <c r="H172" s="150"/>
      <c r="I172" s="17"/>
    </row>
    <row r="173" spans="8:9" x14ac:dyDescent="0.3">
      <c r="H173" s="150"/>
      <c r="I173" s="17"/>
    </row>
    <row r="174" spans="8:9" x14ac:dyDescent="0.3">
      <c r="H174" s="150"/>
      <c r="I174" s="17"/>
    </row>
    <row r="175" spans="8:9" x14ac:dyDescent="0.3">
      <c r="H175" s="150"/>
      <c r="I175" s="17"/>
    </row>
    <row r="176" spans="8:9" x14ac:dyDescent="0.3">
      <c r="H176" s="150"/>
      <c r="I176" s="17"/>
    </row>
    <row r="177" spans="8:9" x14ac:dyDescent="0.3">
      <c r="H177" s="150"/>
      <c r="I177" s="17"/>
    </row>
    <row r="178" spans="8:9" x14ac:dyDescent="0.3">
      <c r="H178" s="150"/>
      <c r="I178" s="17"/>
    </row>
    <row r="179" spans="8:9" x14ac:dyDescent="0.3">
      <c r="H179" s="150"/>
      <c r="I179" s="17"/>
    </row>
    <row r="180" spans="8:9" x14ac:dyDescent="0.3">
      <c r="H180" s="150"/>
      <c r="I180" s="17"/>
    </row>
    <row r="181" spans="8:9" x14ac:dyDescent="0.3">
      <c r="H181" s="150"/>
      <c r="I181" s="17"/>
    </row>
    <row r="182" spans="8:9" x14ac:dyDescent="0.3">
      <c r="H182" s="150"/>
      <c r="I182" s="17"/>
    </row>
    <row r="183" spans="8:9" x14ac:dyDescent="0.3">
      <c r="H183" s="150"/>
      <c r="I183" s="17"/>
    </row>
    <row r="184" spans="8:9" x14ac:dyDescent="0.3">
      <c r="H184" s="150"/>
      <c r="I184" s="17"/>
    </row>
    <row r="185" spans="8:9" x14ac:dyDescent="0.3">
      <c r="H185" s="150"/>
      <c r="I185" s="17"/>
    </row>
    <row r="186" spans="8:9" x14ac:dyDescent="0.3">
      <c r="H186" s="150"/>
      <c r="I186" s="17"/>
    </row>
    <row r="187" spans="8:9" x14ac:dyDescent="0.3">
      <c r="H187" s="150"/>
      <c r="I187" s="17"/>
    </row>
    <row r="188" spans="8:9" x14ac:dyDescent="0.3">
      <c r="H188" s="150"/>
      <c r="I188" s="17"/>
    </row>
    <row r="189" spans="8:9" x14ac:dyDescent="0.3">
      <c r="H189" s="150"/>
      <c r="I189" s="17"/>
    </row>
    <row r="190" spans="8:9" x14ac:dyDescent="0.3">
      <c r="H190" s="150"/>
      <c r="I190" s="17"/>
    </row>
    <row r="191" spans="8:9" x14ac:dyDescent="0.3">
      <c r="H191" s="150"/>
      <c r="I191" s="17"/>
    </row>
    <row r="192" spans="8:9" x14ac:dyDescent="0.3">
      <c r="H192" s="150"/>
      <c r="I192" s="17"/>
    </row>
    <row r="193" spans="8:9" x14ac:dyDescent="0.3">
      <c r="H193" s="150"/>
      <c r="I193" s="17"/>
    </row>
    <row r="194" spans="8:9" x14ac:dyDescent="0.3">
      <c r="H194" s="150"/>
      <c r="I194" s="17"/>
    </row>
    <row r="195" spans="8:9" x14ac:dyDescent="0.3">
      <c r="H195" s="150"/>
      <c r="I195" s="17"/>
    </row>
    <row r="196" spans="8:9" x14ac:dyDescent="0.3">
      <c r="H196" s="150"/>
      <c r="I196" s="17"/>
    </row>
    <row r="197" spans="8:9" x14ac:dyDescent="0.3">
      <c r="H197" s="150"/>
      <c r="I197" s="17"/>
    </row>
    <row r="198" spans="8:9" x14ac:dyDescent="0.3">
      <c r="H198" s="150"/>
      <c r="I198" s="17"/>
    </row>
    <row r="199" spans="8:9" x14ac:dyDescent="0.3">
      <c r="H199" s="150"/>
      <c r="I199" s="17"/>
    </row>
    <row r="200" spans="8:9" x14ac:dyDescent="0.3">
      <c r="H200" s="150"/>
      <c r="I200" s="17"/>
    </row>
    <row r="201" spans="8:9" x14ac:dyDescent="0.3">
      <c r="H201" s="150"/>
      <c r="I201" s="17"/>
    </row>
    <row r="202" spans="8:9" x14ac:dyDescent="0.3">
      <c r="H202" s="150"/>
      <c r="I202" s="17"/>
    </row>
    <row r="203" spans="8:9" x14ac:dyDescent="0.3">
      <c r="H203" s="150"/>
      <c r="I203" s="17"/>
    </row>
    <row r="204" spans="8:9" x14ac:dyDescent="0.3">
      <c r="H204" s="150"/>
      <c r="I204" s="17"/>
    </row>
    <row r="205" spans="8:9" x14ac:dyDescent="0.3">
      <c r="H205" s="150"/>
      <c r="I205" s="17"/>
    </row>
    <row r="206" spans="8:9" x14ac:dyDescent="0.3">
      <c r="H206" s="150"/>
      <c r="I206" s="17"/>
    </row>
    <row r="207" spans="8:9" x14ac:dyDescent="0.3">
      <c r="H207" s="150"/>
      <c r="I207" s="17"/>
    </row>
    <row r="208" spans="8:9" x14ac:dyDescent="0.3">
      <c r="H208" s="150"/>
      <c r="I208" s="17"/>
    </row>
    <row r="209" spans="8:9" x14ac:dyDescent="0.3">
      <c r="H209" s="150"/>
      <c r="I209" s="17"/>
    </row>
    <row r="210" spans="8:9" x14ac:dyDescent="0.3">
      <c r="H210" s="150"/>
      <c r="I210" s="17"/>
    </row>
    <row r="211" spans="8:9" x14ac:dyDescent="0.3">
      <c r="H211" s="150"/>
      <c r="I211" s="17"/>
    </row>
    <row r="212" spans="8:9" x14ac:dyDescent="0.3">
      <c r="H212" s="150"/>
      <c r="I212" s="17"/>
    </row>
    <row r="213" spans="8:9" x14ac:dyDescent="0.3">
      <c r="H213" s="150"/>
      <c r="I213" s="17"/>
    </row>
    <row r="214" spans="8:9" x14ac:dyDescent="0.3">
      <c r="H214" s="150"/>
      <c r="I214" s="17"/>
    </row>
    <row r="215" spans="8:9" x14ac:dyDescent="0.3">
      <c r="H215" s="150"/>
      <c r="I215" s="17"/>
    </row>
    <row r="216" spans="8:9" x14ac:dyDescent="0.3">
      <c r="H216" s="150"/>
      <c r="I216" s="17"/>
    </row>
    <row r="217" spans="8:9" x14ac:dyDescent="0.3">
      <c r="H217" s="150"/>
      <c r="I217" s="17"/>
    </row>
    <row r="218" spans="8:9" x14ac:dyDescent="0.3">
      <c r="H218" s="150"/>
      <c r="I218" s="17"/>
    </row>
    <row r="219" spans="8:9" x14ac:dyDescent="0.3">
      <c r="H219" s="150"/>
      <c r="I219" s="17"/>
    </row>
    <row r="220" spans="8:9" x14ac:dyDescent="0.3">
      <c r="H220" s="150"/>
      <c r="I220" s="17"/>
    </row>
    <row r="221" spans="8:9" x14ac:dyDescent="0.3">
      <c r="H221" s="150"/>
      <c r="I221" s="17"/>
    </row>
    <row r="222" spans="8:9" x14ac:dyDescent="0.3">
      <c r="H222" s="150"/>
      <c r="I222" s="17"/>
    </row>
    <row r="223" spans="8:9" x14ac:dyDescent="0.3">
      <c r="H223" s="150"/>
      <c r="I223" s="17"/>
    </row>
    <row r="224" spans="8:9" x14ac:dyDescent="0.3">
      <c r="H224" s="150"/>
      <c r="I224" s="17"/>
    </row>
    <row r="225" spans="8:9" x14ac:dyDescent="0.3">
      <c r="H225" s="150"/>
      <c r="I225" s="17"/>
    </row>
    <row r="226" spans="8:9" x14ac:dyDescent="0.3">
      <c r="H226" s="150"/>
      <c r="I226" s="17"/>
    </row>
    <row r="227" spans="8:9" x14ac:dyDescent="0.3">
      <c r="H227" s="150"/>
      <c r="I227" s="17"/>
    </row>
    <row r="228" spans="8:9" x14ac:dyDescent="0.3">
      <c r="H228" s="150"/>
      <c r="I228" s="17"/>
    </row>
    <row r="229" spans="8:9" x14ac:dyDescent="0.3">
      <c r="H229" s="150"/>
      <c r="I229" s="17"/>
    </row>
    <row r="230" spans="8:9" x14ac:dyDescent="0.3">
      <c r="H230" s="150"/>
      <c r="I230" s="17"/>
    </row>
    <row r="231" spans="8:9" x14ac:dyDescent="0.3">
      <c r="H231" s="150"/>
      <c r="I231" s="17"/>
    </row>
    <row r="232" spans="8:9" x14ac:dyDescent="0.3">
      <c r="H232" s="150"/>
      <c r="I232" s="17"/>
    </row>
    <row r="233" spans="8:9" x14ac:dyDescent="0.3">
      <c r="H233" s="150"/>
      <c r="I233" s="17"/>
    </row>
    <row r="234" spans="8:9" x14ac:dyDescent="0.3">
      <c r="H234" s="150"/>
      <c r="I234" s="17"/>
    </row>
    <row r="235" spans="8:9" x14ac:dyDescent="0.3">
      <c r="H235" s="150"/>
      <c r="I235" s="17"/>
    </row>
    <row r="236" spans="8:9" x14ac:dyDescent="0.3">
      <c r="H236" s="150"/>
      <c r="I236" s="17"/>
    </row>
    <row r="237" spans="8:9" x14ac:dyDescent="0.3">
      <c r="H237" s="150"/>
      <c r="I237" s="17"/>
    </row>
    <row r="238" spans="8:9" x14ac:dyDescent="0.3">
      <c r="H238" s="150"/>
      <c r="I238" s="17"/>
    </row>
    <row r="239" spans="8:9" x14ac:dyDescent="0.3">
      <c r="H239" s="150"/>
      <c r="I239" s="17"/>
    </row>
    <row r="240" spans="8:9" x14ac:dyDescent="0.3">
      <c r="H240" s="150"/>
      <c r="I240" s="17"/>
    </row>
    <row r="241" spans="8:9" x14ac:dyDescent="0.3">
      <c r="H241" s="150"/>
      <c r="I241" s="17"/>
    </row>
    <row r="242" spans="8:9" x14ac:dyDescent="0.3">
      <c r="H242" s="150"/>
      <c r="I242" s="17"/>
    </row>
    <row r="243" spans="8:9" x14ac:dyDescent="0.3">
      <c r="H243" s="150"/>
      <c r="I243" s="17"/>
    </row>
    <row r="244" spans="8:9" x14ac:dyDescent="0.3">
      <c r="H244" s="150"/>
      <c r="I244" s="17"/>
    </row>
    <row r="245" spans="8:9" x14ac:dyDescent="0.3">
      <c r="H245" s="150"/>
      <c r="I245" s="17"/>
    </row>
    <row r="246" spans="8:9" x14ac:dyDescent="0.3">
      <c r="H246" s="150"/>
      <c r="I246" s="17"/>
    </row>
    <row r="247" spans="8:9" x14ac:dyDescent="0.3">
      <c r="H247" s="150"/>
      <c r="I247" s="17"/>
    </row>
    <row r="248" spans="8:9" x14ac:dyDescent="0.3">
      <c r="H248" s="150"/>
      <c r="I248" s="17"/>
    </row>
    <row r="249" spans="8:9" x14ac:dyDescent="0.3">
      <c r="H249" s="150"/>
      <c r="I249" s="17"/>
    </row>
    <row r="250" spans="8:9" x14ac:dyDescent="0.3">
      <c r="H250" s="150"/>
      <c r="I250" s="17"/>
    </row>
    <row r="251" spans="8:9" x14ac:dyDescent="0.3">
      <c r="H251" s="150"/>
      <c r="I251" s="17"/>
    </row>
    <row r="252" spans="8:9" x14ac:dyDescent="0.3">
      <c r="H252" s="150"/>
      <c r="I252" s="17"/>
    </row>
    <row r="253" spans="8:9" x14ac:dyDescent="0.3">
      <c r="H253" s="150"/>
      <c r="I253" s="17"/>
    </row>
    <row r="254" spans="8:9" x14ac:dyDescent="0.3">
      <c r="H254" s="150"/>
      <c r="I254" s="17"/>
    </row>
    <row r="255" spans="8:9" x14ac:dyDescent="0.3">
      <c r="H255" s="150"/>
      <c r="I255" s="17"/>
    </row>
    <row r="256" spans="8:9" x14ac:dyDescent="0.3">
      <c r="H256" s="150"/>
      <c r="I256" s="17"/>
    </row>
    <row r="257" spans="8:9" x14ac:dyDescent="0.3">
      <c r="H257" s="150"/>
      <c r="I257" s="17"/>
    </row>
  </sheetData>
  <hyperlinks>
    <hyperlink ref="B28" location="Assumptions!A1" display="Jump to front" xr:uid="{E414AD97-0665-43AA-A9B8-2C257DD8714A}"/>
  </hyperlinks>
  <pageMargins left="0.7" right="0.7" top="0.75" bottom="0.75" header="0.3" footer="0.3"/>
  <pageSetup orientation="portrait"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C3F38-0772-4DD8-84A0-821C2CAFF235}">
  <sheetPr codeName="Sheet26"/>
  <dimension ref="A3:N43"/>
  <sheetViews>
    <sheetView showGridLines="0" topLeftCell="A4" workbookViewId="0">
      <selection activeCell="N28" sqref="N28"/>
    </sheetView>
  </sheetViews>
  <sheetFormatPr defaultRowHeight="13.8" x14ac:dyDescent="0.3"/>
  <cols>
    <col min="1" max="1" width="16.88671875" bestFit="1" customWidth="1"/>
  </cols>
  <sheetData>
    <row r="3" spans="1:10" x14ac:dyDescent="0.3">
      <c r="A3" t="s">
        <v>224</v>
      </c>
      <c r="B3">
        <v>3911</v>
      </c>
      <c r="D3" t="s">
        <v>225</v>
      </c>
      <c r="E3">
        <v>3900</v>
      </c>
    </row>
    <row r="4" spans="1:10" x14ac:dyDescent="0.3">
      <c r="A4" t="s">
        <v>226</v>
      </c>
      <c r="B4">
        <v>4000</v>
      </c>
    </row>
    <row r="7" spans="1:10" x14ac:dyDescent="0.3">
      <c r="C7" t="s">
        <v>227</v>
      </c>
      <c r="D7">
        <v>5000</v>
      </c>
    </row>
    <row r="8" spans="1:10" x14ac:dyDescent="0.3">
      <c r="C8" t="s">
        <v>228</v>
      </c>
      <c r="D8">
        <v>3911</v>
      </c>
      <c r="H8" t="s">
        <v>237</v>
      </c>
      <c r="I8" t="s">
        <v>238</v>
      </c>
      <c r="J8" t="s">
        <v>239</v>
      </c>
    </row>
    <row r="9" spans="1:10" x14ac:dyDescent="0.3">
      <c r="D9">
        <f>D7-D8</f>
        <v>1089</v>
      </c>
      <c r="F9">
        <v>1</v>
      </c>
      <c r="G9" t="s">
        <v>234</v>
      </c>
      <c r="H9">
        <v>56.9</v>
      </c>
      <c r="I9">
        <v>101.36</v>
      </c>
      <c r="J9">
        <v>146.4</v>
      </c>
    </row>
    <row r="10" spans="1:10" x14ac:dyDescent="0.3">
      <c r="A10" t="s">
        <v>230</v>
      </c>
      <c r="B10">
        <v>4000</v>
      </c>
      <c r="C10" t="s">
        <v>233</v>
      </c>
      <c r="F10">
        <v>1</v>
      </c>
      <c r="G10" t="s">
        <v>235</v>
      </c>
      <c r="H10">
        <v>60.7</v>
      </c>
      <c r="I10">
        <v>97.2</v>
      </c>
      <c r="J10">
        <v>141.02000000000001</v>
      </c>
    </row>
    <row r="11" spans="1:10" x14ac:dyDescent="0.3">
      <c r="A11" t="s">
        <v>231</v>
      </c>
      <c r="B11">
        <f>MAX(B10-$E$3,0)*$C$11</f>
        <v>100</v>
      </c>
      <c r="C11">
        <v>1</v>
      </c>
      <c r="G11" t="s">
        <v>229</v>
      </c>
      <c r="H11">
        <f>$F$10*H10-$F$9*H9</f>
        <v>3.8000000000000043</v>
      </c>
      <c r="I11">
        <f>$F$10*I10-$F$9*I9</f>
        <v>-4.1599999999999966</v>
      </c>
      <c r="J11">
        <f t="shared" ref="J11" si="0">$F$10*J10-$F$9*J9</f>
        <v>-5.3799999999999955</v>
      </c>
    </row>
    <row r="12" spans="1:10" x14ac:dyDescent="0.3">
      <c r="A12" t="s">
        <v>232</v>
      </c>
      <c r="B12">
        <f>-MAX(E3-B10,0)*C12</f>
        <v>0</v>
      </c>
      <c r="C12">
        <v>1</v>
      </c>
    </row>
    <row r="13" spans="1:10" x14ac:dyDescent="0.3">
      <c r="G13">
        <f>SUM(H11:J11)</f>
        <v>-5.7399999999999878</v>
      </c>
    </row>
    <row r="15" spans="1:10" x14ac:dyDescent="0.3">
      <c r="A15" t="s">
        <v>236</v>
      </c>
      <c r="B15">
        <v>4100</v>
      </c>
    </row>
    <row r="16" spans="1:10" x14ac:dyDescent="0.3">
      <c r="A16" t="s">
        <v>240</v>
      </c>
      <c r="B16">
        <f>MAX(B15-$E$3,0)*$C$11</f>
        <v>200</v>
      </c>
      <c r="C16">
        <v>1</v>
      </c>
    </row>
    <row r="17" spans="1:14" x14ac:dyDescent="0.3">
      <c r="A17" t="s">
        <v>241</v>
      </c>
      <c r="B17">
        <f>-MAX(E8-B15,0)*C17</f>
        <v>0</v>
      </c>
      <c r="C17">
        <v>1</v>
      </c>
    </row>
    <row r="19" spans="1:14" x14ac:dyDescent="0.3">
      <c r="A19" t="s">
        <v>242</v>
      </c>
      <c r="B19">
        <v>3800</v>
      </c>
    </row>
    <row r="20" spans="1:14" x14ac:dyDescent="0.3">
      <c r="A20" t="s">
        <v>243</v>
      </c>
      <c r="B20">
        <f>MAX(B19-$E$3,0)*$C$11</f>
        <v>0</v>
      </c>
      <c r="C20">
        <v>1</v>
      </c>
    </row>
    <row r="21" spans="1:14" x14ac:dyDescent="0.3">
      <c r="A21" t="s">
        <v>244</v>
      </c>
      <c r="B21">
        <f>-MAX(E3-B19,0)*F9</f>
        <v>-100</v>
      </c>
      <c r="C21">
        <v>1</v>
      </c>
    </row>
    <row r="23" spans="1:14" x14ac:dyDescent="0.3">
      <c r="A23" t="s">
        <v>245</v>
      </c>
      <c r="B23">
        <f>B19+B11+B16+B21-G13+D9</f>
        <v>5094.74</v>
      </c>
    </row>
    <row r="25" spans="1:14" x14ac:dyDescent="0.3">
      <c r="A25" s="161" t="s">
        <v>246</v>
      </c>
      <c r="B25" s="172">
        <v>3911</v>
      </c>
      <c r="C25" s="161"/>
      <c r="D25" s="161"/>
      <c r="E25" s="161"/>
      <c r="F25" s="161"/>
      <c r="G25" s="161"/>
      <c r="H25" s="161"/>
    </row>
    <row r="26" spans="1:14" x14ac:dyDescent="0.3">
      <c r="A26" s="161" t="s">
        <v>129</v>
      </c>
      <c r="B26" s="163">
        <v>44256</v>
      </c>
      <c r="C26" s="161"/>
      <c r="D26" s="161"/>
      <c r="E26" s="161"/>
      <c r="F26" s="161"/>
      <c r="G26" s="161"/>
      <c r="H26" s="161"/>
    </row>
    <row r="27" spans="1:14" x14ac:dyDescent="0.3">
      <c r="A27" s="164" t="s">
        <v>209</v>
      </c>
      <c r="B27" s="172">
        <v>3900</v>
      </c>
      <c r="C27" s="161"/>
      <c r="D27" s="161"/>
      <c r="E27" s="161"/>
      <c r="F27" s="161"/>
      <c r="G27" s="161"/>
      <c r="H27" s="161"/>
    </row>
    <row r="28" spans="1:14" x14ac:dyDescent="0.3">
      <c r="A28" s="164" t="s">
        <v>247</v>
      </c>
      <c r="B28" s="172">
        <v>5000</v>
      </c>
      <c r="C28" s="161"/>
      <c r="D28" s="161"/>
      <c r="E28" s="161"/>
      <c r="F28" s="161"/>
      <c r="G28" s="161"/>
      <c r="H28" s="161"/>
      <c r="N28" s="193" t="s">
        <v>342</v>
      </c>
    </row>
    <row r="29" spans="1:14" x14ac:dyDescent="0.3">
      <c r="A29" s="161"/>
      <c r="B29" s="161"/>
      <c r="C29" s="161"/>
      <c r="D29" s="161"/>
      <c r="E29" s="161"/>
      <c r="F29" s="161"/>
      <c r="G29" s="161"/>
      <c r="H29" s="161"/>
    </row>
    <row r="30" spans="1:14" ht="27.6" x14ac:dyDescent="0.3">
      <c r="A30" s="166" t="s">
        <v>248</v>
      </c>
      <c r="B30" s="165" t="s">
        <v>211</v>
      </c>
      <c r="C30" s="167" t="s">
        <v>210</v>
      </c>
      <c r="D30" s="167" t="s">
        <v>249</v>
      </c>
      <c r="E30" s="173" t="s">
        <v>250</v>
      </c>
      <c r="F30" s="161" t="s">
        <v>251</v>
      </c>
      <c r="G30" s="161" t="s">
        <v>252</v>
      </c>
      <c r="H30" s="161" t="s">
        <v>253</v>
      </c>
    </row>
    <row r="31" spans="1:14" x14ac:dyDescent="0.3">
      <c r="A31" s="163">
        <v>44272</v>
      </c>
      <c r="B31" s="168">
        <v>60.7</v>
      </c>
      <c r="C31" s="169">
        <v>56.9</v>
      </c>
      <c r="D31" s="170">
        <v>0.17610000000000001</v>
      </c>
      <c r="E31" s="161">
        <v>4000</v>
      </c>
      <c r="F31" s="174">
        <f>MAX(E31-$E$3,0)</f>
        <v>100</v>
      </c>
      <c r="G31" s="174">
        <f t="shared" ref="G31:G32" si="1">-MAX($E$3-E31,0)</f>
        <v>0</v>
      </c>
      <c r="H31" s="174">
        <f>SUM(F31:G31)</f>
        <v>100</v>
      </c>
    </row>
    <row r="32" spans="1:14" x14ac:dyDescent="0.3">
      <c r="A32" s="163">
        <v>44302</v>
      </c>
      <c r="B32" s="168">
        <v>97.2</v>
      </c>
      <c r="C32" s="171">
        <v>101.36</v>
      </c>
      <c r="D32" s="170">
        <v>0.18049999999999999</v>
      </c>
      <c r="E32" s="161">
        <v>4100</v>
      </c>
      <c r="F32" s="174">
        <f>MAX(E32-$E$3,0)</f>
        <v>200</v>
      </c>
      <c r="G32" s="174">
        <f t="shared" si="1"/>
        <v>0</v>
      </c>
      <c r="H32" s="174">
        <f t="shared" ref="H32:H33" si="2">SUM(F32:G32)</f>
        <v>200</v>
      </c>
    </row>
    <row r="33" spans="1:8" x14ac:dyDescent="0.3">
      <c r="A33" s="163">
        <v>44337</v>
      </c>
      <c r="B33" s="162">
        <v>141.02000000000001</v>
      </c>
      <c r="C33" s="169">
        <v>146.4</v>
      </c>
      <c r="D33" s="170">
        <v>0.19309999999999999</v>
      </c>
      <c r="E33" s="161">
        <v>3800</v>
      </c>
      <c r="F33" s="174">
        <f t="shared" ref="F32:F33" si="3">MAX(E33-$E$3,0)</f>
        <v>0</v>
      </c>
      <c r="G33" s="174">
        <f>-MAX($E$3-E33,0)</f>
        <v>-100</v>
      </c>
      <c r="H33" s="174">
        <f t="shared" si="2"/>
        <v>-100</v>
      </c>
    </row>
    <row r="34" spans="1:8" x14ac:dyDescent="0.3">
      <c r="A34" s="161"/>
      <c r="B34" s="161"/>
      <c r="C34" s="161"/>
      <c r="D34" s="161"/>
      <c r="E34" s="161"/>
      <c r="F34" s="161"/>
      <c r="G34" s="161"/>
      <c r="H34" s="161"/>
    </row>
    <row r="35" spans="1:8" x14ac:dyDescent="0.3">
      <c r="A35" s="166" t="s">
        <v>254</v>
      </c>
      <c r="B35" s="161"/>
      <c r="C35" s="161"/>
      <c r="D35" s="161"/>
      <c r="E35" s="161"/>
      <c r="F35" s="161"/>
      <c r="G35" s="161"/>
      <c r="H35" s="161"/>
    </row>
    <row r="36" spans="1:8" x14ac:dyDescent="0.3">
      <c r="A36" s="161" t="s">
        <v>255</v>
      </c>
      <c r="B36" s="174">
        <f>B28</f>
        <v>5000</v>
      </c>
      <c r="C36" s="161"/>
      <c r="D36" s="161"/>
      <c r="E36" s="161"/>
      <c r="F36" s="161"/>
      <c r="G36" s="161"/>
      <c r="H36" s="161"/>
    </row>
    <row r="37" spans="1:8" x14ac:dyDescent="0.3">
      <c r="A37" s="161" t="s">
        <v>256</v>
      </c>
      <c r="B37" s="174">
        <f>-B25</f>
        <v>-3911</v>
      </c>
      <c r="C37" s="161"/>
      <c r="D37" s="161"/>
      <c r="E37" s="161"/>
      <c r="F37" s="161"/>
      <c r="G37" s="161"/>
      <c r="H37" s="161"/>
    </row>
    <row r="38" spans="1:8" x14ac:dyDescent="0.3">
      <c r="A38" s="161" t="s">
        <v>257</v>
      </c>
      <c r="B38" s="134">
        <f>-SUM(B31:B33)</f>
        <v>-298.92</v>
      </c>
      <c r="C38" s="161"/>
      <c r="D38" s="161"/>
      <c r="E38" s="161"/>
      <c r="F38" s="161"/>
      <c r="G38" s="161"/>
      <c r="H38" s="161"/>
    </row>
    <row r="39" spans="1:8" x14ac:dyDescent="0.3">
      <c r="A39" s="161" t="s">
        <v>258</v>
      </c>
      <c r="B39" s="134">
        <f>SUM(C31:C33)</f>
        <v>304.65999999999997</v>
      </c>
      <c r="C39" s="161"/>
      <c r="D39" s="161"/>
      <c r="E39" s="161"/>
      <c r="F39" s="161"/>
      <c r="G39" s="161"/>
      <c r="H39" s="161"/>
    </row>
    <row r="40" spans="1:8" x14ac:dyDescent="0.3">
      <c r="A40" s="161" t="s">
        <v>259</v>
      </c>
      <c r="B40" s="174">
        <f>SUM(F31:F33)</f>
        <v>300</v>
      </c>
      <c r="C40" s="161"/>
      <c r="D40" s="161"/>
      <c r="E40" s="161"/>
      <c r="F40" s="161"/>
      <c r="G40" s="161"/>
      <c r="H40" s="161"/>
    </row>
    <row r="41" spans="1:8" x14ac:dyDescent="0.3">
      <c r="A41" s="161" t="s">
        <v>260</v>
      </c>
      <c r="B41" s="174">
        <f>SUM(G31:G33)</f>
        <v>-100</v>
      </c>
      <c r="C41" s="161"/>
      <c r="D41" s="161"/>
      <c r="E41" s="161"/>
      <c r="F41" s="161"/>
      <c r="G41" s="161"/>
      <c r="H41" s="161"/>
    </row>
    <row r="42" spans="1:8" x14ac:dyDescent="0.3">
      <c r="A42" s="161" t="s">
        <v>250</v>
      </c>
      <c r="B42" s="174">
        <f>E33</f>
        <v>3800</v>
      </c>
      <c r="C42" s="161"/>
      <c r="D42" s="161"/>
      <c r="E42" s="161"/>
      <c r="F42" s="161"/>
      <c r="G42" s="161"/>
      <c r="H42" s="161"/>
    </row>
    <row r="43" spans="1:8" x14ac:dyDescent="0.3">
      <c r="A43" s="161" t="s">
        <v>261</v>
      </c>
      <c r="B43" s="174">
        <f>SUM(B36:B42)</f>
        <v>5094.74</v>
      </c>
      <c r="C43" s="161"/>
      <c r="D43" s="161"/>
      <c r="E43" s="161"/>
      <c r="F43" s="161"/>
      <c r="G43" s="161"/>
      <c r="H43" s="161"/>
    </row>
  </sheetData>
  <hyperlinks>
    <hyperlink ref="N28" location="Assumptions!A1" display="Jump to front" xr:uid="{DF1D2174-D9CE-4FB6-BCFF-79FF0BC18CAE}"/>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12C07-FAE0-43BD-B2CB-86EFD5C83E18}">
  <sheetPr codeName="Sheet27"/>
  <dimension ref="B1:R26"/>
  <sheetViews>
    <sheetView workbookViewId="0">
      <selection activeCell="B26" sqref="B26"/>
    </sheetView>
  </sheetViews>
  <sheetFormatPr defaultColWidth="9.109375" defaultRowHeight="13.8" x14ac:dyDescent="0.3"/>
  <cols>
    <col min="1" max="1" width="0.88671875" style="1" customWidth="1"/>
    <col min="2" max="2" width="40.21875" style="1" bestFit="1" customWidth="1"/>
    <col min="3" max="3" width="8.6640625" style="1" customWidth="1"/>
    <col min="4" max="4" width="1.6640625" style="1" customWidth="1"/>
    <col min="5" max="5" width="7.6640625" style="1" customWidth="1"/>
    <col min="6" max="6" width="1.6640625" style="1" customWidth="1"/>
    <col min="7" max="7" width="7.6640625" style="1" customWidth="1"/>
    <col min="8" max="8" width="2.6640625" style="1" customWidth="1"/>
    <col min="9" max="11" width="7.6640625" style="1" customWidth="1"/>
    <col min="12" max="12" width="2.6640625" style="1" customWidth="1"/>
    <col min="13" max="13" width="7.6640625" style="1" customWidth="1"/>
    <col min="14" max="14" width="1.6640625" style="1" customWidth="1"/>
    <col min="15" max="15" width="7.6640625" style="1" customWidth="1"/>
    <col min="16" max="16" width="2.6640625" style="1" customWidth="1"/>
    <col min="17" max="17" width="7.6640625" style="1" customWidth="1"/>
    <col min="18" max="18" width="1.6640625" style="1" customWidth="1"/>
    <col min="19" max="16384" width="9.109375" style="1"/>
  </cols>
  <sheetData>
    <row r="1" spans="2:18" ht="4.95" customHeight="1" thickBot="1" x14ac:dyDescent="0.35"/>
    <row r="2" spans="2:18" x14ac:dyDescent="0.3">
      <c r="B2" s="3" t="s">
        <v>16</v>
      </c>
      <c r="C2" s="46">
        <v>54</v>
      </c>
      <c r="E2" s="3"/>
      <c r="F2" s="6"/>
      <c r="G2" s="6" t="s">
        <v>21</v>
      </c>
      <c r="H2" s="6"/>
      <c r="I2" s="6"/>
      <c r="J2" s="6" t="s">
        <v>5</v>
      </c>
      <c r="K2" s="7" t="s">
        <v>6</v>
      </c>
      <c r="L2" s="6"/>
      <c r="M2" s="6"/>
      <c r="N2" s="6"/>
      <c r="O2" s="6" t="s">
        <v>7</v>
      </c>
      <c r="P2" s="6"/>
      <c r="Q2" s="6"/>
      <c r="R2" s="8"/>
    </row>
    <row r="3" spans="2:18" x14ac:dyDescent="0.3">
      <c r="B3" s="4" t="s">
        <v>0</v>
      </c>
      <c r="C3" s="26">
        <v>58</v>
      </c>
      <c r="E3" s="4"/>
      <c r="K3" s="16"/>
      <c r="R3" s="5"/>
    </row>
    <row r="4" spans="2:18" x14ac:dyDescent="0.3">
      <c r="B4" s="4" t="s">
        <v>1</v>
      </c>
      <c r="C4" s="26">
        <v>70</v>
      </c>
      <c r="E4" s="4"/>
      <c r="K4" s="16"/>
      <c r="R4" s="5"/>
    </row>
    <row r="5" spans="2:18" x14ac:dyDescent="0.3">
      <c r="B5" s="4" t="s">
        <v>2</v>
      </c>
      <c r="C5" s="26">
        <v>40</v>
      </c>
      <c r="E5" s="4"/>
      <c r="G5" s="17"/>
      <c r="H5" s="17"/>
      <c r="I5" s="47">
        <f>C4</f>
        <v>70</v>
      </c>
      <c r="J5" s="128">
        <f>(I7-I9)/(I5-I9)</f>
        <v>0.48457755557184068</v>
      </c>
      <c r="K5" s="17"/>
      <c r="L5" s="17"/>
      <c r="M5" s="47">
        <f>MAX(0,I5-$C$3)</f>
        <v>12</v>
      </c>
      <c r="O5" s="17"/>
      <c r="P5" s="17"/>
      <c r="Q5" s="47">
        <f>MAX(0,$C$3-I5)</f>
        <v>0</v>
      </c>
      <c r="R5" s="5"/>
    </row>
    <row r="6" spans="2:18" x14ac:dyDescent="0.3">
      <c r="B6" s="4" t="s">
        <v>3</v>
      </c>
      <c r="C6" s="24">
        <v>0.02</v>
      </c>
      <c r="E6" s="4"/>
      <c r="G6" s="17"/>
      <c r="H6" s="17"/>
      <c r="I6" s="17"/>
      <c r="K6" s="17"/>
      <c r="L6" s="17"/>
      <c r="M6" s="17"/>
      <c r="O6" s="17"/>
      <c r="P6" s="17"/>
      <c r="Q6" s="17"/>
      <c r="R6" s="5"/>
    </row>
    <row r="7" spans="2:18" x14ac:dyDescent="0.3">
      <c r="B7" s="4" t="s">
        <v>15</v>
      </c>
      <c r="C7" s="26">
        <f>C8</f>
        <v>0.5</v>
      </c>
      <c r="E7" s="4"/>
      <c r="G7" s="48">
        <f>C2</f>
        <v>54</v>
      </c>
      <c r="H7" s="17"/>
      <c r="I7" s="49">
        <f>G7*(1+C6)^C7</f>
        <v>54.53732666715522</v>
      </c>
      <c r="K7" s="48">
        <f>MAX(M7/(1+$C$6)^M13,G7-$C$3)</f>
        <v>5.7576393123732101</v>
      </c>
      <c r="L7" s="17"/>
      <c r="M7" s="49">
        <f>M5*$J$5+M9*$J$9</f>
        <v>5.8149306668620877</v>
      </c>
      <c r="O7" s="48">
        <f>Q7/(1+$C$6)^Q13</f>
        <v>9.1861968050203213</v>
      </c>
      <c r="P7" s="17"/>
      <c r="Q7" s="49">
        <f>Q5*$J$5+Q9*$J$9</f>
        <v>9.2776039997068676</v>
      </c>
      <c r="R7" s="5"/>
    </row>
    <row r="8" spans="2:18" ht="14.4" thickBot="1" x14ac:dyDescent="0.35">
      <c r="B8" s="4" t="s">
        <v>4</v>
      </c>
      <c r="C8" s="26">
        <f>Assumptions!B4</f>
        <v>0.5</v>
      </c>
      <c r="E8" s="4"/>
      <c r="G8" s="17"/>
      <c r="H8" s="17"/>
      <c r="I8" s="17"/>
      <c r="K8" s="17"/>
      <c r="L8" s="17"/>
      <c r="M8" s="17"/>
      <c r="O8" s="17"/>
      <c r="P8" s="17"/>
      <c r="Q8" s="17"/>
      <c r="R8" s="5"/>
    </row>
    <row r="9" spans="2:18" x14ac:dyDescent="0.3">
      <c r="B9" s="10" t="s">
        <v>8</v>
      </c>
      <c r="C9" s="43">
        <f>K7</f>
        <v>5.7576393123732101</v>
      </c>
      <c r="E9" s="4"/>
      <c r="G9" s="17"/>
      <c r="H9" s="17"/>
      <c r="I9" s="47">
        <f>C5</f>
        <v>40</v>
      </c>
      <c r="J9" s="128">
        <f>1-J5</f>
        <v>0.51542244442815932</v>
      </c>
      <c r="K9" s="17"/>
      <c r="L9" s="17"/>
      <c r="M9" s="47">
        <f>MAX(0,I9-$C$3)</f>
        <v>0</v>
      </c>
      <c r="O9" s="17"/>
      <c r="P9" s="17"/>
      <c r="Q9" s="47">
        <f>MAX(0,$C$3-I9)</f>
        <v>18</v>
      </c>
      <c r="R9" s="5"/>
    </row>
    <row r="10" spans="2:18" x14ac:dyDescent="0.3">
      <c r="B10" s="11" t="s">
        <v>11</v>
      </c>
      <c r="C10" s="44">
        <f>MAX(C2-C3,0)</f>
        <v>0</v>
      </c>
      <c r="E10" s="4"/>
      <c r="I10" s="2"/>
      <c r="J10" s="15"/>
      <c r="M10" s="2"/>
      <c r="Q10" s="2"/>
      <c r="R10" s="5"/>
    </row>
    <row r="11" spans="2:18" ht="14.4" thickBot="1" x14ac:dyDescent="0.35">
      <c r="B11" s="12" t="s">
        <v>12</v>
      </c>
      <c r="C11" s="45">
        <f>C9-C10</f>
        <v>5.7576393123732101</v>
      </c>
      <c r="E11" s="4"/>
      <c r="I11" s="2"/>
      <c r="J11" s="15"/>
      <c r="M11" s="2"/>
      <c r="Q11" s="2"/>
      <c r="R11" s="5"/>
    </row>
    <row r="12" spans="2:18" x14ac:dyDescent="0.3">
      <c r="B12" s="11" t="s">
        <v>9</v>
      </c>
      <c r="C12" s="44">
        <f>O7</f>
        <v>9.1861968050203213</v>
      </c>
      <c r="E12" s="4"/>
      <c r="R12" s="5"/>
    </row>
    <row r="13" spans="2:18" ht="14.4" thickBot="1" x14ac:dyDescent="0.35">
      <c r="B13" s="11" t="s">
        <v>13</v>
      </c>
      <c r="C13" s="44">
        <f>MAX(C3-C2,0)</f>
        <v>4</v>
      </c>
      <c r="E13" s="22" t="s">
        <v>10</v>
      </c>
      <c r="F13" s="18"/>
      <c r="G13" s="19">
        <v>0</v>
      </c>
      <c r="H13" s="20"/>
      <c r="I13" s="19">
        <f>G13+$C$7</f>
        <v>0.5</v>
      </c>
      <c r="J13" s="21"/>
      <c r="K13" s="21">
        <f>G13</f>
        <v>0</v>
      </c>
      <c r="L13" s="21"/>
      <c r="M13" s="21">
        <f>K13+$C$7</f>
        <v>0.5</v>
      </c>
      <c r="N13" s="21"/>
      <c r="O13" s="21">
        <f>G13</f>
        <v>0</v>
      </c>
      <c r="P13" s="21"/>
      <c r="Q13" s="21">
        <f>O13+$C$7</f>
        <v>0.5</v>
      </c>
      <c r="R13" s="9"/>
    </row>
    <row r="14" spans="2:18" ht="14.4" thickBot="1" x14ac:dyDescent="0.35">
      <c r="B14" s="12" t="s">
        <v>14</v>
      </c>
      <c r="C14" s="45">
        <f>C12-C13</f>
        <v>5.1861968050203213</v>
      </c>
      <c r="G14" s="17"/>
      <c r="K14" s="17"/>
    </row>
    <row r="15" spans="2:18" x14ac:dyDescent="0.3">
      <c r="G15" s="17"/>
      <c r="I15" s="13"/>
      <c r="J15" s="17"/>
      <c r="K15" s="17"/>
      <c r="M15" s="13"/>
    </row>
    <row r="16" spans="2:18" x14ac:dyDescent="0.3">
      <c r="B16" s="1" t="s">
        <v>182</v>
      </c>
      <c r="C16" s="23">
        <v>0.6</v>
      </c>
      <c r="G16" s="17"/>
      <c r="K16" s="17"/>
      <c r="M16" s="17"/>
    </row>
    <row r="17" spans="2:13" x14ac:dyDescent="0.3">
      <c r="B17" s="1" t="s">
        <v>93</v>
      </c>
      <c r="C17" s="23">
        <f>1-C16</f>
        <v>0.4</v>
      </c>
      <c r="G17" s="17"/>
      <c r="J17" s="17"/>
      <c r="K17" s="17"/>
      <c r="M17" s="14"/>
    </row>
    <row r="18" spans="2:13" x14ac:dyDescent="0.3">
      <c r="C18" s="13"/>
      <c r="G18" s="17"/>
      <c r="K18" s="13"/>
    </row>
    <row r="19" spans="2:13" x14ac:dyDescent="0.3">
      <c r="B19" s="1" t="s">
        <v>95</v>
      </c>
      <c r="C19" s="13">
        <f>O7</f>
        <v>9.1861968050203213</v>
      </c>
      <c r="G19" s="17"/>
      <c r="I19" s="14"/>
    </row>
    <row r="20" spans="2:13" x14ac:dyDescent="0.3">
      <c r="B20" s="1" t="s">
        <v>96</v>
      </c>
      <c r="C20" s="23">
        <f>(C16*C4+C5*C17)/C2-1</f>
        <v>7.4074074074074181E-2</v>
      </c>
      <c r="G20" s="17"/>
    </row>
    <row r="21" spans="2:13" x14ac:dyDescent="0.3">
      <c r="B21" s="1" t="s">
        <v>97</v>
      </c>
      <c r="C21" s="23">
        <f>(C16*Q5+C17*Q9)/O7-1</f>
        <v>-0.21621535518756252</v>
      </c>
      <c r="G21" s="17"/>
    </row>
    <row r="22" spans="2:13" x14ac:dyDescent="0.3">
      <c r="B22" s="1" t="s">
        <v>98</v>
      </c>
      <c r="C22" s="23">
        <f>((C16*C4+C17*C5)+(Q9*C17))/(C2+O7)-1</f>
        <v>3.1870935375234888E-2</v>
      </c>
      <c r="G22" s="17"/>
    </row>
    <row r="23" spans="2:13" x14ac:dyDescent="0.3">
      <c r="G23" s="17"/>
    </row>
    <row r="24" spans="2:13" x14ac:dyDescent="0.3">
      <c r="G24" s="17"/>
    </row>
    <row r="25" spans="2:13" x14ac:dyDescent="0.3">
      <c r="J25" s="17"/>
    </row>
    <row r="26" spans="2:13" x14ac:dyDescent="0.3">
      <c r="B26" s="193" t="s">
        <v>342</v>
      </c>
      <c r="J26" s="23"/>
    </row>
  </sheetData>
  <hyperlinks>
    <hyperlink ref="B26" location="Assumptions!A1" display="Jump to front" xr:uid="{9408330F-7DB0-4C1D-9C42-296110C794D5}"/>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848D0-E5E4-4C54-A889-8542DE515D57}">
  <sheetPr codeName="Sheet28"/>
  <dimension ref="B1:M35"/>
  <sheetViews>
    <sheetView topLeftCell="A7" workbookViewId="0">
      <selection activeCell="B35" sqref="B35"/>
    </sheetView>
  </sheetViews>
  <sheetFormatPr defaultColWidth="9.109375" defaultRowHeight="13.8" x14ac:dyDescent="0.3"/>
  <cols>
    <col min="1" max="1" width="9.109375" style="70" customWidth="1"/>
    <col min="2" max="2" width="35.44140625" style="70" bestFit="1" customWidth="1"/>
    <col min="3" max="9" width="9.109375" style="70"/>
    <col min="10" max="10" width="9.109375" style="70" customWidth="1"/>
    <col min="11" max="16384" width="9.109375" style="70"/>
  </cols>
  <sheetData>
    <row r="1" spans="2:13" x14ac:dyDescent="0.3">
      <c r="D1" s="83"/>
    </row>
    <row r="2" spans="2:13" x14ac:dyDescent="0.3">
      <c r="B2" s="102" t="s">
        <v>86</v>
      </c>
      <c r="C2" s="102"/>
      <c r="D2" s="127"/>
      <c r="E2" s="228" t="s">
        <v>87</v>
      </c>
      <c r="F2" s="228"/>
      <c r="G2" s="229"/>
      <c r="H2" s="228" t="s">
        <v>88</v>
      </c>
      <c r="I2" s="228"/>
    </row>
    <row r="3" spans="2:13" x14ac:dyDescent="0.3">
      <c r="B3" s="70" t="s">
        <v>89</v>
      </c>
      <c r="D3" s="83"/>
      <c r="E3" s="83" t="s">
        <v>90</v>
      </c>
      <c r="F3" s="83" t="s">
        <v>91</v>
      </c>
      <c r="G3" s="84" t="s">
        <v>92</v>
      </c>
      <c r="H3" s="83" t="s">
        <v>91</v>
      </c>
      <c r="I3" s="83" t="s">
        <v>92</v>
      </c>
    </row>
    <row r="4" spans="2:13" x14ac:dyDescent="0.3">
      <c r="B4" s="102" t="s">
        <v>46</v>
      </c>
      <c r="C4" s="102"/>
      <c r="D4" s="102"/>
      <c r="E4" s="103">
        <v>90</v>
      </c>
      <c r="F4" s="103">
        <v>80</v>
      </c>
      <c r="G4" s="104">
        <v>100</v>
      </c>
      <c r="H4" s="102">
        <f>F4</f>
        <v>80</v>
      </c>
      <c r="I4" s="102">
        <f>G4</f>
        <v>100</v>
      </c>
    </row>
    <row r="5" spans="2:13" x14ac:dyDescent="0.3">
      <c r="B5" s="70" t="s">
        <v>47</v>
      </c>
      <c r="E5" s="105">
        <v>90</v>
      </c>
      <c r="F5" s="105">
        <v>70</v>
      </c>
      <c r="G5" s="106">
        <v>110</v>
      </c>
      <c r="H5" s="70">
        <f>F5</f>
        <v>70</v>
      </c>
      <c r="I5" s="70">
        <f>G5</f>
        <v>110</v>
      </c>
    </row>
    <row r="6" spans="2:13" x14ac:dyDescent="0.3">
      <c r="C6" s="101"/>
      <c r="D6" s="83"/>
      <c r="G6" s="94"/>
    </row>
    <row r="7" spans="2:13" x14ac:dyDescent="0.3">
      <c r="B7" s="70" t="s">
        <v>48</v>
      </c>
      <c r="D7" s="83"/>
      <c r="E7" s="107">
        <v>3.6</v>
      </c>
      <c r="F7" s="108">
        <f>$E$7</f>
        <v>3.6</v>
      </c>
      <c r="G7" s="109">
        <f>$E$7</f>
        <v>3.6</v>
      </c>
      <c r="H7" s="108">
        <f>$E$7</f>
        <v>3.6</v>
      </c>
      <c r="I7" s="108">
        <f>$E$7</f>
        <v>3.6</v>
      </c>
    </row>
    <row r="8" spans="2:13" x14ac:dyDescent="0.3">
      <c r="B8" s="70" t="s">
        <v>49</v>
      </c>
      <c r="C8" s="110"/>
      <c r="E8" s="111">
        <f>E7/E4*1000</f>
        <v>40</v>
      </c>
      <c r="F8" s="111">
        <f>F7/F4*1000</f>
        <v>45</v>
      </c>
      <c r="G8" s="112">
        <f>G7/G4*1000</f>
        <v>36.000000000000007</v>
      </c>
      <c r="H8" s="111">
        <f>H7/H4*1000</f>
        <v>45</v>
      </c>
      <c r="I8" s="111">
        <f>I7/I4*1000</f>
        <v>36.000000000000007</v>
      </c>
    </row>
    <row r="9" spans="2:13" x14ac:dyDescent="0.3">
      <c r="B9" s="70" t="s">
        <v>42</v>
      </c>
      <c r="E9" s="113">
        <f>$C$25/2</f>
        <v>22.35</v>
      </c>
      <c r="F9" s="113">
        <f>$C$25/2</f>
        <v>22.35</v>
      </c>
      <c r="G9" s="114">
        <f>$C$25/2</f>
        <v>22.35</v>
      </c>
      <c r="H9" s="113">
        <f>$C$25/2</f>
        <v>22.35</v>
      </c>
      <c r="I9" s="113">
        <f>$C$25/2</f>
        <v>22.35</v>
      </c>
    </row>
    <row r="10" spans="2:13" x14ac:dyDescent="0.3">
      <c r="B10" s="70" t="s">
        <v>38</v>
      </c>
      <c r="C10" s="110"/>
      <c r="E10" s="111">
        <f>E8-E9</f>
        <v>17.649999999999999</v>
      </c>
      <c r="F10" s="111">
        <f>F8-F9</f>
        <v>22.65</v>
      </c>
      <c r="G10" s="112">
        <f>G8-G9</f>
        <v>13.650000000000006</v>
      </c>
      <c r="H10" s="111">
        <f>H8-H9</f>
        <v>22.65</v>
      </c>
      <c r="I10" s="111">
        <f>I8-I9</f>
        <v>13.650000000000006</v>
      </c>
      <c r="M10" s="192" t="s">
        <v>310</v>
      </c>
    </row>
    <row r="11" spans="2:13" x14ac:dyDescent="0.3">
      <c r="B11" s="70" t="s">
        <v>39</v>
      </c>
      <c r="E11" s="113">
        <f>$C$26/2</f>
        <v>10.15</v>
      </c>
      <c r="F11" s="113">
        <f>$C$26/2</f>
        <v>10.15</v>
      </c>
      <c r="G11" s="114">
        <f>$C$26/2</f>
        <v>10.15</v>
      </c>
      <c r="H11" s="113">
        <f>$C$26/2</f>
        <v>10.15</v>
      </c>
      <c r="I11" s="113">
        <f>$C$26/2</f>
        <v>10.15</v>
      </c>
    </row>
    <row r="12" spans="2:13" x14ac:dyDescent="0.3">
      <c r="B12" s="70" t="s">
        <v>51</v>
      </c>
      <c r="C12" s="110"/>
      <c r="E12" s="111">
        <f>E10-E11</f>
        <v>7.4999999999999982</v>
      </c>
      <c r="F12" s="111">
        <f>F10-F11</f>
        <v>12.499999999999998</v>
      </c>
      <c r="G12" s="112">
        <f>G10-G11</f>
        <v>3.5000000000000053</v>
      </c>
      <c r="H12" s="111">
        <f>H10-H11</f>
        <v>12.499999999999998</v>
      </c>
      <c r="I12" s="111">
        <f>I10-I11</f>
        <v>3.5000000000000053</v>
      </c>
    </row>
    <row r="13" spans="2:13" x14ac:dyDescent="0.3">
      <c r="C13" s="110"/>
      <c r="E13" s="111"/>
      <c r="F13" s="111"/>
      <c r="G13" s="112"/>
      <c r="H13" s="111"/>
      <c r="I13" s="111"/>
    </row>
    <row r="14" spans="2:13" x14ac:dyDescent="0.3">
      <c r="B14" s="70" t="s">
        <v>52</v>
      </c>
      <c r="C14" s="110"/>
      <c r="E14" s="115">
        <v>0</v>
      </c>
      <c r="F14" s="115">
        <v>0</v>
      </c>
      <c r="G14" s="116">
        <v>0</v>
      </c>
      <c r="H14" s="111">
        <f>-$I$31</f>
        <v>-1.1006284667030475</v>
      </c>
      <c r="I14" s="111">
        <f>-$I$31</f>
        <v>-1.1006284667030475</v>
      </c>
    </row>
    <row r="15" spans="2:13" x14ac:dyDescent="0.3">
      <c r="B15" s="70" t="s">
        <v>53</v>
      </c>
      <c r="C15" s="110"/>
      <c r="E15" s="117">
        <v>0</v>
      </c>
      <c r="F15" s="117">
        <v>0</v>
      </c>
      <c r="G15" s="118">
        <v>0</v>
      </c>
      <c r="H15" s="113">
        <f>MAX(H5-$I$27,0)*$I$28/H5</f>
        <v>0</v>
      </c>
      <c r="I15" s="113">
        <f>MAX(I5-$I$27,0)*$I$28/I5</f>
        <v>7.2727272727272725</v>
      </c>
    </row>
    <row r="16" spans="2:13" x14ac:dyDescent="0.3">
      <c r="B16" s="70" t="s">
        <v>33</v>
      </c>
      <c r="C16" s="110"/>
      <c r="E16" s="111">
        <f>E14+E15</f>
        <v>0</v>
      </c>
      <c r="F16" s="111">
        <f>F14+F15</f>
        <v>0</v>
      </c>
      <c r="G16" s="112">
        <f>G14+G15</f>
        <v>0</v>
      </c>
      <c r="H16" s="111">
        <f>H14+H15</f>
        <v>-1.1006284667030475</v>
      </c>
      <c r="I16" s="111">
        <f>I14+I15</f>
        <v>6.1720988060242252</v>
      </c>
    </row>
    <row r="17" spans="2:9" x14ac:dyDescent="0.3">
      <c r="C17" s="110"/>
      <c r="E17" s="111"/>
      <c r="F17" s="111"/>
      <c r="G17" s="112"/>
      <c r="H17" s="111"/>
      <c r="I17" s="111"/>
    </row>
    <row r="18" spans="2:9" x14ac:dyDescent="0.3">
      <c r="B18" s="70" t="s">
        <v>54</v>
      </c>
      <c r="C18" s="110"/>
      <c r="E18" s="111">
        <f>E12+E16</f>
        <v>7.4999999999999982</v>
      </c>
      <c r="F18" s="111">
        <f>F12+F16</f>
        <v>12.499999999999998</v>
      </c>
      <c r="G18" s="112">
        <f>G12+G16</f>
        <v>3.5000000000000053</v>
      </c>
      <c r="H18" s="111">
        <f>H12+H16</f>
        <v>11.39937153329695</v>
      </c>
      <c r="I18" s="111">
        <f>I12+I16</f>
        <v>9.6720988060242306</v>
      </c>
    </row>
    <row r="19" spans="2:9" x14ac:dyDescent="0.3">
      <c r="B19" s="70" t="s">
        <v>43</v>
      </c>
      <c r="E19" s="113">
        <f>$C$27/2</f>
        <v>2</v>
      </c>
      <c r="F19" s="113">
        <f>$C$27/2</f>
        <v>2</v>
      </c>
      <c r="G19" s="114">
        <f>$C$27/2</f>
        <v>2</v>
      </c>
      <c r="H19" s="113">
        <f>$C$27/2</f>
        <v>2</v>
      </c>
      <c r="I19" s="113">
        <f>$C$27/2</f>
        <v>2</v>
      </c>
    </row>
    <row r="20" spans="2:9" x14ac:dyDescent="0.3">
      <c r="B20" s="70" t="s">
        <v>40</v>
      </c>
      <c r="C20" s="110"/>
      <c r="E20" s="111">
        <f>E18-E19</f>
        <v>5.4999999999999982</v>
      </c>
      <c r="F20" s="111">
        <f>F18-F19</f>
        <v>10.499999999999998</v>
      </c>
      <c r="G20" s="112">
        <f>G18-G19</f>
        <v>1.5000000000000053</v>
      </c>
      <c r="H20" s="111">
        <f>H18-H19</f>
        <v>9.3993715332969501</v>
      </c>
      <c r="I20" s="111">
        <f>I18-I19</f>
        <v>7.6720988060242306</v>
      </c>
    </row>
    <row r="21" spans="2:9" x14ac:dyDescent="0.3">
      <c r="B21" s="70" t="s">
        <v>45</v>
      </c>
      <c r="C21" s="110"/>
      <c r="E21" s="113">
        <f>E20*$C$28</f>
        <v>2.1999999999999993</v>
      </c>
      <c r="F21" s="113">
        <f>F20*$C$28</f>
        <v>4.1999999999999993</v>
      </c>
      <c r="G21" s="114">
        <f>G20*$C$28</f>
        <v>0.6000000000000022</v>
      </c>
      <c r="H21" s="113">
        <f>H20*$C$28</f>
        <v>3.7597486133187803</v>
      </c>
      <c r="I21" s="113">
        <f>I20*$C$28</f>
        <v>3.0688395224096925</v>
      </c>
    </row>
    <row r="22" spans="2:9" ht="14.4" thickBot="1" x14ac:dyDescent="0.35">
      <c r="B22" s="70" t="s">
        <v>41</v>
      </c>
      <c r="C22" s="110"/>
      <c r="E22" s="119">
        <f>E20-E21</f>
        <v>3.2999999999999989</v>
      </c>
      <c r="F22" s="119">
        <f>F20-F21</f>
        <v>6.2999999999999989</v>
      </c>
      <c r="G22" s="120">
        <f>G20-G21</f>
        <v>0.90000000000000313</v>
      </c>
      <c r="H22" s="119">
        <f>H20-H21</f>
        <v>5.6396229199781693</v>
      </c>
      <c r="I22" s="119">
        <f>I20-I21</f>
        <v>4.6032592836145376</v>
      </c>
    </row>
    <row r="23" spans="2:9" ht="14.4" thickTop="1" x14ac:dyDescent="0.3">
      <c r="F23" s="111"/>
      <c r="G23" s="111"/>
    </row>
    <row r="24" spans="2:9" x14ac:dyDescent="0.3">
      <c r="B24" s="71" t="s">
        <v>50</v>
      </c>
      <c r="E24" s="71" t="s">
        <v>58</v>
      </c>
      <c r="G24" s="111"/>
      <c r="H24" s="111"/>
    </row>
    <row r="25" spans="2:9" x14ac:dyDescent="0.3">
      <c r="B25" s="70" t="s">
        <v>42</v>
      </c>
      <c r="C25" s="110">
        <v>44.7</v>
      </c>
      <c r="E25" s="70" t="s">
        <v>57</v>
      </c>
      <c r="I25" s="121">
        <f>E7</f>
        <v>3.6</v>
      </c>
    </row>
    <row r="26" spans="2:9" x14ac:dyDescent="0.3">
      <c r="B26" s="70" t="s">
        <v>39</v>
      </c>
      <c r="C26" s="110">
        <v>20.3</v>
      </c>
      <c r="E26" s="70" t="s">
        <v>35</v>
      </c>
      <c r="I26" s="122">
        <f>Q2BSM!C2</f>
        <v>90</v>
      </c>
    </row>
    <row r="27" spans="2:9" x14ac:dyDescent="0.3">
      <c r="B27" s="70" t="s">
        <v>43</v>
      </c>
      <c r="C27" s="110">
        <v>4</v>
      </c>
      <c r="E27" s="70" t="s">
        <v>0</v>
      </c>
      <c r="I27" s="122">
        <f>Q2BSM!C3</f>
        <v>90</v>
      </c>
    </row>
    <row r="28" spans="2:9" x14ac:dyDescent="0.3">
      <c r="B28" s="70" t="s">
        <v>44</v>
      </c>
      <c r="C28" s="123">
        <v>0.4</v>
      </c>
      <c r="E28" s="70" t="s">
        <v>55</v>
      </c>
      <c r="I28" s="124">
        <f>I25/I27*1000</f>
        <v>40</v>
      </c>
    </row>
    <row r="29" spans="2:9" x14ac:dyDescent="0.3">
      <c r="E29" s="70" t="s">
        <v>56</v>
      </c>
      <c r="I29" s="122">
        <f>Q2BSM!C7</f>
        <v>2.476414050081857</v>
      </c>
    </row>
    <row r="30" spans="2:9" x14ac:dyDescent="0.3">
      <c r="E30" s="70" t="s">
        <v>52</v>
      </c>
      <c r="I30" s="125">
        <f>I28*I29</f>
        <v>99.05656200327428</v>
      </c>
    </row>
    <row r="31" spans="2:9" x14ac:dyDescent="0.3">
      <c r="B31" s="75"/>
      <c r="C31" s="75"/>
      <c r="D31" s="75"/>
      <c r="E31" s="75" t="s">
        <v>52</v>
      </c>
      <c r="F31" s="75"/>
      <c r="G31" s="75"/>
      <c r="H31" s="75"/>
      <c r="I31" s="126">
        <f>I30/I26</f>
        <v>1.1006284667030475</v>
      </c>
    </row>
    <row r="35" spans="2:2" x14ac:dyDescent="0.3">
      <c r="B35" s="193" t="s">
        <v>342</v>
      </c>
    </row>
  </sheetData>
  <mergeCells count="2">
    <mergeCell ref="E2:G2"/>
    <mergeCell ref="H2:I2"/>
  </mergeCells>
  <hyperlinks>
    <hyperlink ref="M10" location="Assumptions!A1" display="jump to front" xr:uid="{77FA5301-C6B1-41E7-B0ED-AC201951CDB9}"/>
    <hyperlink ref="B35" location="Assumptions!A1" display="Jump to front" xr:uid="{D00B929C-B6EE-4A52-8736-D98D1D36F584}"/>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4F5B2-365E-487F-B316-AFD414E69717}">
  <sheetPr codeName="Sheet29"/>
  <dimension ref="A1:E24"/>
  <sheetViews>
    <sheetView workbookViewId="0">
      <pane xSplit="1" ySplit="2" topLeftCell="B3" activePane="bottomRight" state="frozen"/>
      <selection activeCell="C18" sqref="C18"/>
      <selection pane="topRight" activeCell="C18" sqref="C18"/>
      <selection pane="bottomLeft" activeCell="C18" sqref="C18"/>
      <selection pane="bottomRight" activeCell="A27" sqref="A27"/>
    </sheetView>
  </sheetViews>
  <sheetFormatPr defaultColWidth="9.109375" defaultRowHeight="13.8" x14ac:dyDescent="0.3"/>
  <cols>
    <col min="1" max="1" width="67.21875" style="70" bestFit="1" customWidth="1"/>
    <col min="2" max="5" width="20.6640625" style="70" customWidth="1"/>
    <col min="6" max="16384" width="9.109375" style="70"/>
  </cols>
  <sheetData>
    <row r="1" spans="1:5" x14ac:dyDescent="0.3">
      <c r="A1" s="71" t="s">
        <v>59</v>
      </c>
      <c r="B1" s="71">
        <v>1</v>
      </c>
      <c r="C1" s="71">
        <v>2</v>
      </c>
      <c r="D1" s="80">
        <v>3</v>
      </c>
      <c r="E1" s="72" t="s">
        <v>66</v>
      </c>
    </row>
    <row r="2" spans="1:5" x14ac:dyDescent="0.3">
      <c r="A2" s="73" t="s">
        <v>60</v>
      </c>
      <c r="B2" s="81">
        <f>Assumptions!$B$4/B1</f>
        <v>0.5</v>
      </c>
      <c r="C2" s="81">
        <f>Assumptions!$B$4/C1</f>
        <v>0.25</v>
      </c>
      <c r="D2" s="82">
        <f>Assumptions!$B$4/D1</f>
        <v>0.16666666666666666</v>
      </c>
      <c r="E2" s="72" t="s">
        <v>65</v>
      </c>
    </row>
    <row r="3" spans="1:5" x14ac:dyDescent="0.3">
      <c r="A3" s="73" t="s">
        <v>80</v>
      </c>
      <c r="B3" s="81"/>
      <c r="C3" s="81"/>
      <c r="D3" s="82"/>
      <c r="E3" s="72"/>
    </row>
    <row r="4" spans="1:5" ht="15" x14ac:dyDescent="0.3">
      <c r="A4" s="230" t="s">
        <v>19</v>
      </c>
      <c r="B4" s="83" t="s">
        <v>67</v>
      </c>
      <c r="C4" s="83" t="s">
        <v>67</v>
      </c>
      <c r="D4" s="84" t="s">
        <v>67</v>
      </c>
    </row>
    <row r="5" spans="1:5" ht="15" x14ac:dyDescent="0.3">
      <c r="A5" s="230"/>
      <c r="B5" s="83" t="s">
        <v>70</v>
      </c>
      <c r="C5" s="83" t="s">
        <v>68</v>
      </c>
      <c r="D5" s="84" t="s">
        <v>69</v>
      </c>
    </row>
    <row r="6" spans="1:5" x14ac:dyDescent="0.3">
      <c r="A6" s="230"/>
      <c r="B6" s="81">
        <f>EXP(Assumptions!$B$1*SQRT(Summary!B2))</f>
        <v>1.0714204994078442</v>
      </c>
      <c r="C6" s="81">
        <f>EXP(Assumptions!$B$1*SQRT(Summary!C2))</f>
        <v>1.0499893276763341</v>
      </c>
      <c r="D6" s="82">
        <f>EXP(Assumptions!$B$1*SQRT(Summary!D2))</f>
        <v>1.0406325019249074</v>
      </c>
      <c r="E6" s="71"/>
    </row>
    <row r="7" spans="1:5" x14ac:dyDescent="0.3">
      <c r="A7" s="230" t="s">
        <v>20</v>
      </c>
      <c r="B7" s="85" t="s">
        <v>71</v>
      </c>
      <c r="C7" s="85" t="s">
        <v>71</v>
      </c>
      <c r="D7" s="86" t="s">
        <v>71</v>
      </c>
    </row>
    <row r="8" spans="1:5" x14ac:dyDescent="0.3">
      <c r="A8" s="230"/>
      <c r="B8" s="87">
        <f>1/B6</f>
        <v>0.93334036501325379</v>
      </c>
      <c r="C8" s="87">
        <f>1/C6</f>
        <v>0.9523906325915118</v>
      </c>
      <c r="D8" s="88">
        <f>1/D6</f>
        <v>0.96095403338859053</v>
      </c>
      <c r="E8" s="71"/>
    </row>
    <row r="9" spans="1:5" ht="15" x14ac:dyDescent="0.3">
      <c r="A9" s="231" t="s">
        <v>79</v>
      </c>
      <c r="B9" s="85" t="s">
        <v>72</v>
      </c>
      <c r="C9" s="85" t="s">
        <v>72</v>
      </c>
      <c r="D9" s="86" t="s">
        <v>72</v>
      </c>
    </row>
    <row r="10" spans="1:5" ht="15" x14ac:dyDescent="0.3">
      <c r="A10" s="231"/>
      <c r="B10" s="85" t="s">
        <v>73</v>
      </c>
      <c r="C10" s="85" t="s">
        <v>74</v>
      </c>
      <c r="D10" s="86" t="s">
        <v>75</v>
      </c>
    </row>
    <row r="11" spans="1:5" x14ac:dyDescent="0.3">
      <c r="A11" s="231"/>
      <c r="B11" s="89">
        <f>(1+Assumptions!$B$5)^Summary!B2</f>
        <v>1</v>
      </c>
      <c r="C11" s="89">
        <f>(1+Assumptions!$B$5)^Summary!C2</f>
        <v>1</v>
      </c>
      <c r="D11" s="90">
        <f>(1+Assumptions!$B$5)^Summary!D2</f>
        <v>1</v>
      </c>
    </row>
    <row r="12" spans="1:5" x14ac:dyDescent="0.3">
      <c r="A12" s="70" t="s">
        <v>76</v>
      </c>
      <c r="B12" s="91">
        <f>((1+Assumptions!B5)^Summary!B2-Summary!B8)/(Summary!B6-Summary!B8)</f>
        <v>0.48276050192892722</v>
      </c>
      <c r="C12" s="91">
        <f>((1+Assumptions!C5)^Summary!C2-Summary!C8)/(Summary!C6-Summary!C8)</f>
        <v>0.48780741757982771</v>
      </c>
      <c r="D12" s="92">
        <f>((1+Assumptions!D5)^Summary!D2-Summary!D8)/(Summary!D6-Summary!D8)</f>
        <v>0.49004414026372245</v>
      </c>
    </row>
    <row r="13" spans="1:5" x14ac:dyDescent="0.3">
      <c r="A13" s="75" t="s">
        <v>77</v>
      </c>
      <c r="B13" s="76">
        <f>1-B12</f>
        <v>0.51723949807107283</v>
      </c>
      <c r="C13" s="76">
        <f>1-C12</f>
        <v>0.51219258242017229</v>
      </c>
      <c r="D13" s="93">
        <f>1-D12</f>
        <v>0.50995585973627755</v>
      </c>
      <c r="E13" s="75"/>
    </row>
    <row r="14" spans="1:5" x14ac:dyDescent="0.3">
      <c r="A14" s="71" t="s">
        <v>78</v>
      </c>
      <c r="D14" s="94"/>
    </row>
    <row r="15" spans="1:5" x14ac:dyDescent="0.3">
      <c r="A15" s="70" t="s">
        <v>61</v>
      </c>
      <c r="B15" s="89">
        <f>Q1Eu1St!K7</f>
        <v>4.0472684625240216</v>
      </c>
      <c r="C15" s="95">
        <f>Q1Eu2St!N7</f>
        <v>2.1946648356309919</v>
      </c>
      <c r="D15" s="96">
        <f>Q1Eu3St!P10</f>
        <v>2.6877268749320873</v>
      </c>
      <c r="E15" s="74">
        <f>Q2BSM!C7</f>
        <v>2.476414050081857</v>
      </c>
    </row>
    <row r="16" spans="1:5" x14ac:dyDescent="0.3">
      <c r="A16" s="70" t="s">
        <v>62</v>
      </c>
      <c r="B16" s="89">
        <f>Q3Am1St!K7</f>
        <v>3.1031096527930946</v>
      </c>
      <c r="C16" s="89">
        <f>Q3Am2St!N7</f>
        <v>2.1946648356309937</v>
      </c>
      <c r="D16" s="96">
        <f>Q1Eu3St!P10</f>
        <v>2.6877268749320873</v>
      </c>
    </row>
    <row r="17" spans="1:5" x14ac:dyDescent="0.3">
      <c r="A17" s="70" t="s">
        <v>63</v>
      </c>
      <c r="B17" s="89">
        <f>Q1Eu1St!O7</f>
        <v>4.0472684625240216</v>
      </c>
      <c r="C17" s="95">
        <f>Q1Eu2St!T7</f>
        <v>2.1946648356309919</v>
      </c>
      <c r="D17" s="96">
        <f>Q1Eu3St!X10</f>
        <v>2.6877268749320775</v>
      </c>
      <c r="E17" s="74">
        <f>Q2BSM!C10</f>
        <v>2.476414050081857</v>
      </c>
    </row>
    <row r="18" spans="1:5" x14ac:dyDescent="0.3">
      <c r="A18" s="75" t="s">
        <v>64</v>
      </c>
      <c r="B18" s="77">
        <f>Q3Am1St!O7</f>
        <v>3.103109652793095</v>
      </c>
      <c r="C18" s="77">
        <f>Q3Am2St!T7</f>
        <v>2.1946648356309932</v>
      </c>
      <c r="D18" s="97">
        <f>Q3Am3St!X10</f>
        <v>2.687726874932078</v>
      </c>
      <c r="E18" s="75"/>
    </row>
    <row r="19" spans="1:5" x14ac:dyDescent="0.3">
      <c r="D19" s="94"/>
    </row>
    <row r="20" spans="1:5" x14ac:dyDescent="0.3">
      <c r="A20" s="71" t="s">
        <v>81</v>
      </c>
      <c r="D20" s="94"/>
    </row>
    <row r="21" spans="1:5" x14ac:dyDescent="0.3">
      <c r="A21" s="70" t="s">
        <v>83</v>
      </c>
      <c r="B21" s="98">
        <f>Q1Eu1St!J5</f>
        <v>0.47751517520819969</v>
      </c>
      <c r="C21" s="98">
        <f>Q1Eu2St!J5*Q1Eu2St!J5</f>
        <v>0.23795607664590035</v>
      </c>
      <c r="D21" s="99">
        <f>Q1Eu3St!J8*Q1Eu3St!J8*Q1Eu3St!J8+Q1Eu3St!J8*Q1Eu3St!J8*Q1Eu3St!J12*3</f>
        <v>0.48506818402815521</v>
      </c>
      <c r="E21" s="78">
        <f>Q2BSM!C17</f>
        <v>0.48624214416621192</v>
      </c>
    </row>
    <row r="22" spans="1:5" x14ac:dyDescent="0.3">
      <c r="A22" s="70" t="s">
        <v>82</v>
      </c>
      <c r="B22" s="98"/>
      <c r="C22" s="98">
        <f>Q1Eu2St!J5*Q1Eu2St!J9*2</f>
        <v>0.49970268186785455</v>
      </c>
      <c r="D22" s="99"/>
      <c r="E22" s="78"/>
    </row>
    <row r="23" spans="1:5" x14ac:dyDescent="0.3">
      <c r="A23" s="70" t="s">
        <v>84</v>
      </c>
      <c r="B23" s="79">
        <f>Q1Eu1St!J9</f>
        <v>0.52248482479180036</v>
      </c>
      <c r="C23" s="79">
        <f>Q1Eu2St!J9*Q1Eu2St!J9</f>
        <v>0.26234124148624499</v>
      </c>
      <c r="D23" s="100">
        <f>Q1Eu3St!J12*Q1Eu3St!J12*Q1Eu3St!J12+Q1Eu3St!J8*Q1Eu3St!J12*Q1Eu3St!J12*3</f>
        <v>0.51493181597184479</v>
      </c>
      <c r="E23" s="79">
        <f>Q2BSM!C19</f>
        <v>0.51375785583378808</v>
      </c>
    </row>
    <row r="24" spans="1:5" x14ac:dyDescent="0.3">
      <c r="A24" s="75" t="s">
        <v>85</v>
      </c>
      <c r="B24" s="76">
        <f>SUM(B21:B23)</f>
        <v>1</v>
      </c>
      <c r="C24" s="76">
        <f>SUM(C21:C23)</f>
        <v>0.99999999999999978</v>
      </c>
      <c r="D24" s="93">
        <f>SUM(D21:D23)</f>
        <v>1</v>
      </c>
      <c r="E24" s="76">
        <f>SUM(E21:E23)</f>
        <v>1</v>
      </c>
    </row>
  </sheetData>
  <mergeCells count="3">
    <mergeCell ref="A4:A6"/>
    <mergeCell ref="A7:A8"/>
    <mergeCell ref="A9:A1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e409bc1-4165-4028-8d77-16b310dca30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6D0C5E17A67CE439C435674B9E46280" ma:contentTypeVersion="9" ma:contentTypeDescription="Create a new document." ma:contentTypeScope="" ma:versionID="5cdb88a1d54e646450629ebf7f2c6102">
  <xsd:schema xmlns:xsd="http://www.w3.org/2001/XMLSchema" xmlns:xs="http://www.w3.org/2001/XMLSchema" xmlns:p="http://schemas.microsoft.com/office/2006/metadata/properties" xmlns:ns3="3e409bc1-4165-4028-8d77-16b310dca301" xmlns:ns4="ce949907-474b-4939-9984-fa1ad30133a0" targetNamespace="http://schemas.microsoft.com/office/2006/metadata/properties" ma:root="true" ma:fieldsID="7d03a3d79d9bc50ff55d409ddc8076bd" ns3:_="" ns4:_="">
    <xsd:import namespace="3e409bc1-4165-4028-8d77-16b310dca301"/>
    <xsd:import namespace="ce949907-474b-4939-9984-fa1ad30133a0"/>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_activity" minOccurs="0"/>
                <xsd:element ref="ns4:SharedWithUsers" minOccurs="0"/>
                <xsd:element ref="ns4:SharedWithDetails" minOccurs="0"/>
                <xsd:element ref="ns4:SharingHintHash"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409bc1-4165-4028-8d77-16b310dca30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_activity" ma:index="11" nillable="true" ma:displayName="_activity" ma:hidden="true" ma:internalName="_activity">
      <xsd:simpleType>
        <xsd:restriction base="dms:Note"/>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MediaServiceDateTaken" ma:index="16"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949907-474b-4939-9984-fa1ad30133a0"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5F25ACA3-D9B8-426B-9BD5-5C1DA1EEDC5A}">
  <ds:schemaRefs>
    <ds:schemaRef ds:uri="http://schemas.microsoft.com/office/2006/documentManagement/types"/>
    <ds:schemaRef ds:uri="http://purl.org/dc/dcmitype/"/>
    <ds:schemaRef ds:uri="http://schemas.microsoft.com/office/2006/metadata/properties"/>
    <ds:schemaRef ds:uri="http://purl.org/dc/elements/1.1/"/>
    <ds:schemaRef ds:uri="http://www.w3.org/XML/1998/namespace"/>
    <ds:schemaRef ds:uri="ce949907-474b-4939-9984-fa1ad30133a0"/>
    <ds:schemaRef ds:uri="http://schemas.microsoft.com/office/infopath/2007/PartnerControls"/>
    <ds:schemaRef ds:uri="http://schemas.openxmlformats.org/package/2006/metadata/core-properties"/>
    <ds:schemaRef ds:uri="3e409bc1-4165-4028-8d77-16b310dca301"/>
    <ds:schemaRef ds:uri="http://purl.org/dc/terms/"/>
  </ds:schemaRefs>
</ds:datastoreItem>
</file>

<file path=customXml/itemProps2.xml><?xml version="1.0" encoding="utf-8"?>
<ds:datastoreItem xmlns:ds="http://schemas.openxmlformats.org/officeDocument/2006/customXml" ds:itemID="{E366935A-72EC-4A4E-AA20-6B28CE1C2984}">
  <ds:schemaRefs>
    <ds:schemaRef ds:uri="http://schemas.microsoft.com/sharepoint/v3/contenttype/forms"/>
  </ds:schemaRefs>
</ds:datastoreItem>
</file>

<file path=customXml/itemProps3.xml><?xml version="1.0" encoding="utf-8"?>
<ds:datastoreItem xmlns:ds="http://schemas.openxmlformats.org/officeDocument/2006/customXml" ds:itemID="{2520C6FE-214E-45C7-8042-66CE951198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e409bc1-4165-4028-8d77-16b310dca301"/>
    <ds:schemaRef ds:uri="ce949907-474b-4939-9984-fa1ad3013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CE65586-24C1-4DE6-84AA-DDC4F1DE06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Assumptions</vt:lpstr>
      <vt:lpstr>1 step binomial tree with EV</vt:lpstr>
      <vt:lpstr>Q1Eu1St</vt:lpstr>
      <vt:lpstr>Q1Eu2St</vt:lpstr>
      <vt:lpstr>Q1Eu3St</vt:lpstr>
      <vt:lpstr>Q3Am1St</vt:lpstr>
      <vt:lpstr>Q3Am2St</vt:lpstr>
      <vt:lpstr>Q3Am3St</vt:lpstr>
      <vt:lpstr>Q2BSM</vt:lpstr>
      <vt:lpstr>Hard Currencies Q</vt:lpstr>
      <vt:lpstr>Hard Hedging Q</vt:lpstr>
      <vt:lpstr>Copper Question</vt:lpstr>
      <vt:lpstr>portfolio value (gme&amp;dte)</vt:lpstr>
      <vt:lpstr>2 step binomial with euro vs am</vt:lpstr>
      <vt:lpstr>Vornado European</vt:lpstr>
      <vt:lpstr>Berkshire Bank Straddle</vt:lpstr>
      <vt:lpstr>Hard Black Scholes</vt:lpstr>
      <vt:lpstr>Currency Hedging Question</vt:lpstr>
      <vt:lpstr>Time to maturity BSM</vt:lpstr>
      <vt:lpstr>JBLU Hedging</vt:lpstr>
      <vt:lpstr>Simpson Manufacturing Hedging</vt:lpstr>
      <vt:lpstr>Target Black Scholes</vt:lpstr>
      <vt:lpstr>1 step binomial tree copper</vt:lpstr>
      <vt:lpstr>2 step binomial with euro v (2)</vt:lpstr>
      <vt:lpstr>Wolverine World Wide Longshort</vt:lpstr>
      <vt:lpstr>3stepbinomialTESLA</vt:lpstr>
      <vt:lpstr>3StAmerican</vt:lpstr>
      <vt:lpstr>Hertz Black Scholes</vt:lpstr>
      <vt:lpstr>SPY Question Not too hard</vt:lpstr>
      <vt:lpstr>GM 1 Step Binomial</vt:lpstr>
      <vt:lpstr>Q4</vt:lpstr>
      <vt:lpstr>Summary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Hall</dc:creator>
  <cp:lastModifiedBy>nico Newberry</cp:lastModifiedBy>
  <dcterms:created xsi:type="dcterms:W3CDTF">2019-07-30T01:11:30Z</dcterms:created>
  <dcterms:modified xsi:type="dcterms:W3CDTF">2025-02-20T22:13:58Z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0x01010066D0C5E17A67CE439C435674B9E46280</vt:lpwstr>
  </property>
</Properties>
</file>