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threadedComments/threadedComment1.xml" ContentType="application/vnd.ms-excel.threadedcomments+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Cards" sheetId="1" state="visible" r:id="rId2"/>
    <sheet name="Sheet1" sheetId="2" state="hidden" r:id="rId3"/>
  </sheets>
  <definedNames>
    <definedName name="Z_1B4AB686_8467_4EE9_9E2F_D92E7B2399D1_.wvu.FilterData" localSheetId="0" hidden="1">Cards!$A$1:$A$355</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tc={00A20044-0034-4425-B08B-00EB00E500AA}</author>
    <author>tc={004A00F5-009D-4882-AB50-00FA00A80068}</author>
    <author>tc={00310024-00A0-47C8-9FDE-005C00A1009C}</author>
    <author>tc={007300C9-00C4-4BC9-8BCD-009600BD0081}</author>
    <author>tc={00500071-00D0-42E8-B79F-008C00B400A9}</author>
    <author>tc={00A40045-0097-4508-B24B-00A2006B0079}</author>
    <author>tc={00C30031-00AB-4742-8405-008700A10038}</author>
    <author>tc={003600A5-00FB-4C8C-9FF6-003200C80069}</author>
    <author>tc={007B00E9-0076-4802-8472-0005003100B0}</author>
    <author>tc={005A008D-00BB-4122-A91B-0076008B00E1}</author>
    <author>tc={00290061-008C-4DC0-94D8-005A0015005C}</author>
    <author>tc={003F0016-0001-428F-9F5E-005B00940054}</author>
  </authors>
  <commentList>
    <comment ref="A1" authorId="0">
      <text>
        <r>
          <rPr>
            <sz val="9"/>
            <rFont val="Tahoma"/>
          </rPr>
          <t xml:space="preserve">0_ is for tokens
z_ is for external (mtg, msem) cards</t>
        </r>
      </text>
    </comment>
    <comment ref="H1" authorId="0">
      <text>
        <r>
          <rPr>
            <sz val="9"/>
            <rFont val="Tahoma"/>
          </rPr>
          <t xml:space="preserve">(0-4 = common, 5-8 = uncommon, 9-10 = rare)</t>
        </r>
      </text>
    </comment>
    <comment ref="G11" authorId="1" xr:uid="{00A20044-0034-4425-B08B-00EB00E500AA}">
      <text>
        <r>
          <rPr>
            <b/>
            <sz val="9"/>
            <rFont val="Tahoma"/>
          </rPr>
          <t>paradox:</t>
        </r>
        <r>
          <rPr>
            <sz val="9"/>
            <rFont val="Tahoma"/>
          </rPr>
          <t xml:space="preserve">
Response on a steal too strong?
</t>
        </r>
      </text>
    </comment>
    <comment ref="B12" authorId="2" xr:uid="{004A00F5-009D-4882-AB50-00FA00A80068}">
      <text>
        <r>
          <rPr>
            <b/>
            <sz val="9"/>
            <rFont val="Tahoma"/>
          </rPr>
          <t>paradox:</t>
        </r>
        <r>
          <rPr>
            <sz val="9"/>
            <rFont val="Tahoma"/>
          </rPr>
          <t xml:space="preserve">
Needs non-stolen name
</t>
        </r>
      </text>
    </comment>
    <comment ref="B111" authorId="3" xr:uid="{00310024-00A0-47C8-9FDE-005C00A1009C}">
      <text>
        <r>
          <rPr>
            <b/>
            <sz val="9"/>
            <rFont val="Tahoma"/>
          </rPr>
          <t>paradox:</t>
        </r>
        <r>
          <rPr>
            <sz val="9"/>
            <rFont val="Tahoma"/>
          </rPr>
          <t xml:space="preserve">
This name sounds familiar... but I can't find results on google... possibly change it?
</t>
        </r>
      </text>
    </comment>
    <comment ref="I122" authorId="4" xr:uid="{007300C9-00C4-4BC9-8BCD-009600BD0081}">
      <text>
        <r>
          <rPr>
            <b/>
            <sz val="9"/>
            <rFont val="Tahoma"/>
          </rPr>
          <t>paradox:</t>
        </r>
        <r>
          <rPr>
            <sz val="9"/>
            <rFont val="Tahoma"/>
          </rPr>
          <t xml:space="preserve">
Should this be a rare?
</t>
        </r>
      </text>
    </comment>
    <comment ref="B200" authorId="5" xr:uid="{00500071-00D0-42E8-B79F-008C00B400A9}">
      <text>
        <r>
          <rPr>
            <b/>
            <sz val="9"/>
            <rFont val="Tahoma"/>
          </rPr>
          <t>paradox:</t>
        </r>
        <r>
          <rPr>
            <sz val="9"/>
            <rFont val="Tahoma"/>
          </rPr>
          <t xml:space="preserve">
I don't like the word impressive here... what is a better word?
</t>
        </r>
      </text>
    </comment>
    <comment ref="B222" authorId="6" xr:uid="{00A40045-0097-4508-B24B-00A2006B0079}">
      <text>
        <r>
          <rPr>
            <b/>
            <sz val="9"/>
            <rFont val="Tahoma"/>
          </rPr>
          <t>paradox:</t>
        </r>
        <r>
          <rPr>
            <sz val="9"/>
            <rFont val="Tahoma"/>
          </rPr>
          <t xml:space="preserve">
This name probably needs to be reworked.
</t>
        </r>
      </text>
    </comment>
    <comment ref="I35" authorId="7" xr:uid="{00C30031-00AB-4742-8405-008700A10038}">
      <text>
        <r>
          <rPr>
            <b/>
            <sz val="9"/>
            <rFont val="Tahoma"/>
          </rPr>
          <t>paradox:</t>
        </r>
        <r>
          <rPr>
            <sz val="9"/>
            <rFont val="Tahoma"/>
          </rPr>
          <t xml:space="preserve">
Is two cards too strong? Is bleeding too strong? Is permanence too strong?
</t>
        </r>
      </text>
    </comment>
    <comment ref="C40" authorId="8" xr:uid="{003600A5-00FB-4C8C-9FF6-003200C80069}">
      <text>
        <r>
          <rPr>
            <b/>
            <sz val="9"/>
            <rFont val="Tahoma"/>
          </rPr>
          <t>paradox:</t>
        </r>
        <r>
          <rPr>
            <sz val="9"/>
            <rFont val="Tahoma"/>
          </rPr>
          <t xml:space="preserve">
Should this card be purple?
</t>
        </r>
      </text>
    </comment>
    <comment ref="I41" authorId="9" xr:uid="{007B00E9-0076-4802-8472-0005003100B0}">
      <text>
        <r>
          <rPr>
            <b/>
            <sz val="9"/>
            <rFont val="Tahoma"/>
          </rPr>
          <t>paradox:</t>
        </r>
        <r>
          <rPr>
            <sz val="9"/>
            <rFont val="Tahoma"/>
          </rPr>
          <t xml:space="preserve">
Is this card insane?
</t>
        </r>
      </text>
    </comment>
    <comment ref="I46" authorId="10" xr:uid="{005A008D-00BB-4122-A91B-0076008B00E1}">
      <text>
        <r>
          <rPr>
            <b/>
            <sz val="9"/>
            <rFont val="Tahoma"/>
          </rPr>
          <t>paradox:</t>
        </r>
        <r>
          <rPr>
            <sz val="9"/>
            <rFont val="Tahoma"/>
          </rPr>
          <t xml:space="preserve">
Too cheap?
</t>
        </r>
      </text>
    </comment>
    <comment ref="I92" authorId="11" xr:uid="{00290061-008C-4DC0-94D8-005A0015005C}">
      <text>
        <r>
          <rPr>
            <b/>
            <sz val="9"/>
            <rFont val="Tahoma"/>
          </rPr>
          <t>paradox:</t>
        </r>
        <r>
          <rPr>
            <sz val="9"/>
            <rFont val="Tahoma"/>
          </rPr>
          <t xml:space="preserve">
Too similar to maze mind tome?
</t>
        </r>
      </text>
    </comment>
    <comment ref="B94" authorId="12" xr:uid="{003F0016-0001-428F-9F5E-005B00940054}">
      <text>
        <r>
          <rPr>
            <b/>
            <sz val="9"/>
            <rFont val="Tahoma"/>
          </rPr>
          <t>paradox:</t>
        </r>
        <r>
          <rPr>
            <sz val="9"/>
            <rFont val="Tahoma"/>
          </rPr>
          <t xml:space="preserve">
Name a little too vauge! Probably need to add a quanitifier here.
</t>
        </r>
      </text>
    </comment>
  </commentList>
</comments>
</file>

<file path=xl/sharedStrings.xml><?xml version="1.0" encoding="utf-8"?>
<sst xmlns="http://schemas.openxmlformats.org/spreadsheetml/2006/main" count="467" uniqueCount="467">
  <si>
    <t>Slot</t>
  </si>
  <si>
    <t>Name</t>
  </si>
  <si>
    <t>Cost</t>
  </si>
  <si>
    <t>Color</t>
  </si>
  <si>
    <t>Melee/Ranged</t>
  </si>
  <si>
    <t>Type</t>
  </si>
  <si>
    <t>Subtype</t>
  </si>
  <si>
    <t xml:space="preserve">Effectiveness (0-4 = common, 5-8 = uncommon, 9-10 = rare)</t>
  </si>
  <si>
    <t>Rules</t>
  </si>
  <si>
    <t>Flavor</t>
  </si>
  <si>
    <t xml:space="preserve">Attack Power</t>
  </si>
  <si>
    <t>Health</t>
  </si>
  <si>
    <t>Image</t>
  </si>
  <si>
    <t>Artist</t>
  </si>
  <si>
    <t>Notes</t>
  </si>
  <si>
    <t xml:space="preserve">Name Size</t>
  </si>
  <si>
    <t xml:space="preserve">Subtype Size</t>
  </si>
  <si>
    <t xml:space="preserve">Has PH</t>
  </si>
  <si>
    <t xml:space="preserve">Color Calculator</t>
  </si>
  <si>
    <t xml:space="preserve">Iconified Cost</t>
  </si>
  <si>
    <t xml:space="preserve">Iconified Rules</t>
  </si>
  <si>
    <t xml:space="preserve">Italicized Type</t>
  </si>
  <si>
    <t xml:space="preserve">Setted Slot</t>
  </si>
  <si>
    <t>0_001</t>
  </si>
  <si>
    <t xml:space="preserve">Broken Bone</t>
  </si>
  <si>
    <t xml:space="preserve"> </t>
  </si>
  <si>
    <t>Asset</t>
  </si>
  <si>
    <t xml:space="preserve">&lt;u&gt;Transient&lt;/u&gt; Latent Tragedy</t>
  </si>
  <si>
    <t>0</t>
  </si>
  <si>
    <t xml:space="preserve">&lt;p&gt;&lt;center&gt;&lt;u&gt;Transient&lt;/u&gt; (If ~ would enter your discard, instead remove it from the game.)&lt;/center&gt;&lt;/p&gt;&lt;p&gt;When you draw ~, reveal it, then choose a combatant you control to attach it to.&lt;/p&gt;&lt;p&gt;The attached asset has -1/-1.&lt;/p&gt;</t>
  </si>
  <si>
    <t>M_CMDR_RO_001</t>
  </si>
  <si>
    <t xml:space="preserve">Doubt Slinger</t>
  </si>
  <si>
    <t>MR_RO_001</t>
  </si>
  <si>
    <t xml:space="preserve">Some Punk Insults You to Your Face...</t>
  </si>
  <si>
    <t>2RO</t>
  </si>
  <si>
    <t>Effect</t>
  </si>
  <si>
    <t>&lt;u&gt;Decision&lt;/u&gt;</t>
  </si>
  <si>
    <t>9</t>
  </si>
  <si>
    <t xml:space="preserve">&lt;center&gt;&lt;u&gt;Decision&lt;/u&gt; (You many only choose one of the bulleted options.), &lt;u&gt;Retribution&lt;/u&gt;&lt;/center&gt;&lt;p&gt;Choose a player:&lt;ul&gt;&lt;i&gt;Deformation Campaign&lt;/i&gt; -- They may discard any number of cards in their hand. Shuffle X (X is the number of cards in their hand) &lt;i&gt;'Doubt'&lt;/i&gt;s into their deck.&lt;br/&gt;&lt;i&gt;Intimidation Campaign&lt;/i&gt; -- For each tragedy card in their deck, shuffle another copy of that tragedy into their deck.&lt;/ul&gt;&lt;/p&gt;</t>
  </si>
  <si>
    <t/>
  </si>
  <si>
    <t>OO_001</t>
  </si>
  <si>
    <t xml:space="preserve">Ebony Thug</t>
  </si>
  <si>
    <t>2O</t>
  </si>
  <si>
    <t>Ranged</t>
  </si>
  <si>
    <t xml:space="preserve">Augmented Mobster</t>
  </si>
  <si>
    <t xml:space="preserve">&lt;center&gt;Whenever a Mobster you control deals damage to a player, create a &lt;i&gt;'Backstreet Thug'&lt;/i&gt; on the battlefield.&lt;/center&gt;</t>
  </si>
  <si>
    <t>OO_001b</t>
  </si>
  <si>
    <t xml:space="preserve">Backstreet Henchman</t>
  </si>
  <si>
    <t>R</t>
  </si>
  <si>
    <t>Melee</t>
  </si>
  <si>
    <t xml:space="preserve">&lt;u&gt;Transient&lt;/u&gt; Human Mobster</t>
  </si>
  <si>
    <t xml:space="preserve">&lt;center&gt;&lt;u&gt;Transient&lt;/u&gt; (It ceases to exist if it enters any player's discard.)&lt;/center&gt;&lt;p&gt;Whenever ~ is intercepted, shuffle a &lt;i&gt;'Broken Bone'&lt;/i&gt; into the interceptor's deck.&lt;/p&gt;</t>
  </si>
  <si>
    <t xml:space="preserve">prepare, exchange, append, go second</t>
  </si>
  <si>
    <t>MU_RO_001</t>
  </si>
  <si>
    <t xml:space="preserve">?, Back Alley Double Agent</t>
  </si>
  <si>
    <t>1RO</t>
  </si>
  <si>
    <t xml:space="preserve">R. Asset</t>
  </si>
  <si>
    <t xml:space="preserve">Augmented Spy</t>
  </si>
  <si>
    <t>5</t>
  </si>
  <si>
    <t xml:space="preserve">&lt;center&gt;(Becomes &lt;i&gt;'?'s Counter-Espionage'&lt;/i&gt; if you already control ~.)&lt;/center&gt;&lt;p&gt;~@ enters the battlefield under the control of an opponent of your choice.&lt;/p&gt;&lt;p&gt;Any player may pay ~@'s cost to gain control of it.&lt;/p&gt;&lt;p&gt;Whenever ~@ attacks, you draw a card and shuffle 2 &lt;i&gt;'Doubt'&lt;/i&gt;s into your deck.&lt;/p&gt;</t>
  </si>
  <si>
    <t>MU_RO_001b</t>
  </si>
  <si>
    <t xml:space="preserve">?'s Counter-Espionage</t>
  </si>
  <si>
    <t>__</t>
  </si>
  <si>
    <t xml:space="preserve">R. Effect</t>
  </si>
  <si>
    <t>&lt;u&gt;Response&lt;/u&gt;</t>
  </si>
  <si>
    <t xml:space="preserve">&lt;center&gt;(This effect can only be deployed if you control a renowned asset. Banked energy can't be spent to deploy renowned cards. [_] can be paid with [R] or [O].)&lt;br/&gt;&lt;u&gt;Rumor 3&lt;/u&gt; (The owner of ~'s target shuffles 3 &lt;i&gt;'Doubt'&lt;/i&gt;s into their deck.)&lt;/center&gt;&lt;p&gt;Choose 2 players; shuffle all tragedy cards in the first player's deck into the second player's deck.&lt;/p&gt;&lt;p&gt;&lt;u&gt;Personal&lt;/u&gt; (Shuffle &lt;i&gt;'?, Back Alley Double Agent'&lt;/i&gt; into your deck.)&lt;/p&gt;</t>
  </si>
  <si>
    <t xml:space="preserve">Red Orange</t>
  </si>
  <si>
    <t>RU_004</t>
  </si>
  <si>
    <t xml:space="preserve">Back Alley Beatdown</t>
  </si>
  <si>
    <t>3RR</t>
  </si>
  <si>
    <t>7</t>
  </si>
  <si>
    <t xml:space="preserve">&lt;center&gt;&lt;u&gt;Warrant&lt;/u&gt; (When you deploy ~, shuffle an 'Incarceration' into your deck.)&lt;/center&gt;&lt;p&gt;Chose an asset; until end of turn, gain control of it.&lt;/p&gt;&lt;p&gt;That asset's owner shuffles 2 &lt;i&gt;'Broken Bone'&lt;/i&gt;s into their deck.&lt;/p&gt;</t>
  </si>
  <si>
    <t>RU_005</t>
  </si>
  <si>
    <t xml:space="preserve">Pinch Pennies</t>
  </si>
  <si>
    <t xml:space="preserve">Choose an opponent, then choose one:&lt;ul&gt;That opponent discards the card in their hand with lowest generalized cost.&lt;br/&gt;That opponent discards the card in their hand with highest generalized cost.&lt;/ul&gt;</t>
  </si>
  <si>
    <t>U</t>
  </si>
  <si>
    <t>C</t>
  </si>
  <si>
    <t>M_CMDR_RY_001</t>
  </si>
  <si>
    <t xml:space="preserve">Blossom, Battlemaster</t>
  </si>
  <si>
    <t>1RY</t>
  </si>
  <si>
    <t>Commander</t>
  </si>
  <si>
    <t xml:space="preserve">Augmented Female Gladiator</t>
  </si>
  <si>
    <t xml:space="preserve">&lt;center&gt;(Becomes &lt;i&gt;'Blossom's Burn the Ring'&lt;/i&gt; if you already control ~@.)&lt;/center&gt;&lt;p&gt;Each time ~@ has seen you deploy 3 effects choosing combatants you control, at end of turn, you may return 1 of those effects from your discard to your hand.&lt;/p&gt;&lt;p&gt;&lt;b&gt;&lt;i&gt;As Asset&lt;/i&gt;&lt;/b&gt; -- Whenever a combatant you control dies, create a &lt;u&gt;fleeting&lt;/u&gt; (Discard it at end of turn.), &lt;u&gt;transient&lt;/u&gt; (It ceases to exist if it enters any player's discard.) &lt;i&gt;'Torment the Opponent'&lt;/i&gt; in your hand.&lt;/p&gt;</t>
  </si>
  <si>
    <t xml:space="preserve">"'In this business you fight or you die.' My handler gave me that advice when I was first captured, but I was the 1 to teach him what it meant."</t>
  </si>
  <si>
    <r>
      <rPr>
        <rFont val="Arial"/>
      </rPr>
      <t xml:space="preserve">Angel Pits Faction/Feather Moodboard: </t>
    </r>
    <r>
      <rPr>
        <u val="single"/>
        <color rgb="FF1155CC"/>
        <rFont val="Arial"/>
      </rPr>
      <t>https://www.pinterest.com/pin/628815166703064826/?nic_v2=1a2qvhYIH</t>
    </r>
  </si>
  <si>
    <t>M_CMDR_RY_001b</t>
  </si>
  <si>
    <t xml:space="preserve">Blossom's Burn the Ring</t>
  </si>
  <si>
    <t>RY</t>
  </si>
  <si>
    <t xml:space="preserve">&lt;u&gt;Personal&lt;/u&gt; Style &lt;u&gt;Response&lt;/u&gt;</t>
  </si>
  <si>
    <t xml:space="preserve">&lt;center&gt;(This effect can only be deployed if you control a renowned asset. Banked energy can't be spent to deploy renowned cards.)&lt;/center&gt;&lt;p&gt;Choose up to 3 assets or players; ~ deals 6 damage split between them.&lt;/p&gt;&lt;p&gt;&lt;u&gt;Personal&lt;/u&gt; (Shuffle &lt;i&gt;'Blossom, Battlemaster'&lt;/i&gt; into your deck.)&lt;/p&gt;</t>
  </si>
  <si>
    <t xml:space="preserve">"I am a slave as much as the others... a slave every1 placates out of fear."</t>
  </si>
  <si>
    <t>RY_001</t>
  </si>
  <si>
    <t xml:space="preserve">Frugal Angel</t>
  </si>
  <si>
    <t>1YY</t>
  </si>
  <si>
    <t xml:space="preserve">&lt;center&gt;&lt;u&gt;Exchange [R][Y]&lt;/u&gt; (Pay [R][Y], Discard ~ from your hand: Draw a card.)&lt;/center&gt;&lt;p&gt;Whenever ~ attacks, create a &lt;i&gt;'Savings'&lt;/i&gt; in your hand.&lt;/p&gt;</t>
  </si>
  <si>
    <t xml:space="preserve">"3 more matches and I'll have enough money to get someplace they'll never be able to find me." &lt;p&gt;-- Kazu Koshisaka&lt;/p&gt;</t>
  </si>
  <si>
    <t>MR_RY_001</t>
  </si>
  <si>
    <t xml:space="preserve">Reaction Augmenter</t>
  </si>
  <si>
    <t xml:space="preserve">Equipment &lt;u&gt;Augmentation&lt;/u&gt;</t>
  </si>
  <si>
    <t xml:space="preserve">&lt;center&gt;(If a Human asset has an Augmentation attached, it becomes Augmented.)&lt;/center&gt;&lt;p&gt;When ~ enters the battlefield, choose a combatant to attach it to.&lt;/p&gt;&lt;p&gt;The attached combatant gets +2/+2 and &lt;u&gt;brutal&lt;/u&gt; (It deals combat damage before assets without brutal.)&lt;/p&gt;&lt;p&gt;Whenever the attached asset kills a combatant it permanently gets +1/+1.&lt;/p&gt;</t>
  </si>
  <si>
    <t>MR_RY_002</t>
  </si>
  <si>
    <t xml:space="preserve">Angel Trafficking</t>
  </si>
  <si>
    <t>XXXRY</t>
  </si>
  <si>
    <t xml:space="preserve">&lt;p&gt;&lt;center&gt;&lt;u&gt;Prepare 4 -- [R][Y]&lt;/u&gt; (Pay [R][Y] and put ~ into your deck fourth from the top. When you would draw ~, instead deploy it without paying its cost.)&lt;/center&gt;&lt;/p&gt;&lt;p&gt;Choose up to [X] (X is 2 if you prepared.) Human combatants; you permanently gain control of them. They become melee Augmented Gladiators with &lt;u&gt;Transient&lt;/u&gt; &lt;i&gt;'Vital Tracker'&lt;/i&gt;s attached.&lt;/p&gt;</t>
  </si>
  <si>
    <t>MR_RY_003</t>
  </si>
  <si>
    <t xml:space="preserve">Hana Shintsuu</t>
  </si>
  <si>
    <t>3__</t>
  </si>
  <si>
    <t>Multicolor</t>
  </si>
  <si>
    <t xml:space="preserve">&lt;center&gt;(Becomes &lt;i&gt;'Blossom's Rise'&lt;/i&gt; if you already control ~. [_] can be paid with either [R] or [Y].)&lt;/center&gt;&lt;p&gt;~ enters the battlefield with your choice of &lt;u&gt;brutal&lt;/u&gt; (~ deals combat damage before assets without brutal.) or &lt;u&gt;armed -- 'Angel's Katana'&lt;/u&gt; (~ enters the battlefield with a transient &lt;i&gt;'Angel's Katana'&lt;/i&gt; attached to it.)&lt;/p&gt;&lt;p&gt;Whenever a Gladiator attacks you may deploy a Style card from your discard choosing it.&lt;/p&gt;</t>
  </si>
  <si>
    <t xml:space="preserve">"none of the others seem to have noticed that we've all been spayed. How can they be so dense?"</t>
  </si>
  <si>
    <t xml:space="preserve">Red Yellow</t>
  </si>
  <si>
    <t>MR_RY_003b</t>
  </si>
  <si>
    <t xml:space="preserve">Blossom's Rise</t>
  </si>
  <si>
    <t>3RRYY</t>
  </si>
  <si>
    <t>&lt;u&gt;Personal&lt;/u&gt;</t>
  </si>
  <si>
    <t xml:space="preserve">&lt;center&gt;(This effect can only be deployed if you control a renowned asset. Banked energy can't be spent to deploy renowned cards.)&lt;br/&gt;&lt;u&gt;Retribution&lt;/u&gt; (When you draw ~ as a result of taking damage, you may deploy it without paying its cost.)&lt;/center&gt;&lt;p&gt;Kill a combatant of your choice, then add energy to your bank equal to its cost (including energy type.)&lt;/p&gt;&lt;p&gt;&lt;u&gt;Personal&lt;/u&gt; (Shuffle &lt;i&gt;'Hana Shintsuu'&lt;/i&gt; into your deck.)&lt;/p&gt;</t>
  </si>
  <si>
    <t xml:space="preserve">"What are you doing Hana? Put the sword down!" &lt;p&gt;-- Hana's Handler&lt;/p&gt;</t>
  </si>
  <si>
    <t>MU_RY_001</t>
  </si>
  <si>
    <t xml:space="preserve">Torment the Opponent</t>
  </si>
  <si>
    <t xml:space="preserve">Style &lt;u&gt;Response&lt;/u&gt;</t>
  </si>
  <si>
    <t xml:space="preserve">Choose a melee combatant you control; until end of turn, it gets +2/+3 and &lt;u&gt;brutal&lt;/u&gt; (It deals combat damage before assets without brutal.). Choose a combatant an opponent controls with equal or lesser generalized cost; it becomes exhausted and, until end of turn, gets -3/-2.</t>
  </si>
  <si>
    <t>MU_RY_004</t>
  </si>
  <si>
    <t xml:space="preserve">Angel Pit Announcer</t>
  </si>
  <si>
    <t>3RY</t>
  </si>
  <si>
    <t xml:space="preserve">AI Announcer</t>
  </si>
  <si>
    <t xml:space="preserve">&lt;center&gt;Each time ~ has seen 3 combatants die, you may search your deck for a style card, put it into your discard, then shuffle your deck.&lt;/center&gt;</t>
  </si>
  <si>
    <t xml:space="preserve">"I hope the boys behind the scenes know how to give a girl a new stomach folks! Because Kazue's just went flying out of the ring."</t>
  </si>
  <si>
    <t>MU_RY_002</t>
  </si>
  <si>
    <t xml:space="preserve">Pindown the Opponent</t>
  </si>
  <si>
    <t>Style</t>
  </si>
  <si>
    <t xml:space="preserve">&lt;center&gt;&lt;u&gt;Append to Opponent's Effect [R][Y]&lt;/u&gt; (As an opponent deploys an effect you may reveal ~ and pay [R][Y]. If you do add this card's effects as it resolves; it loses those effects once it leaves the stack.)&lt;/center&gt;&lt;p&gt;Choose a combatant you control and another you don't control; the combatant you don't control is exhausted and can't be refreshed as long as the combatant you control remains on the battlefield.&lt;/p&gt;</t>
  </si>
  <si>
    <t xml:space="preserve">Clunky wording?</t>
  </si>
  <si>
    <t>MU_RY_003</t>
  </si>
  <si>
    <t xml:space="preserve">Your Opponent Lies Bloodied on the Ground...</t>
  </si>
  <si>
    <t xml:space="preserve">Style &lt;u&gt;Decision&lt;/u&gt; &lt;u&gt;Response&lt;/u&gt;</t>
  </si>
  <si>
    <t xml:space="preserve">&lt;p&gt;Choose a melee combatant; until end of turn, it gains &lt;u&gt;permanence&lt;/u&gt;.&lt;/p&gt;&lt;p&gt;&lt;ul&gt;&lt;i&gt;Brutalize Them&lt;/i&gt; -- Then choose another combatant; The first deals damage equal to its attack power to the second, then the second gains &lt;u&gt;bleeding&lt;/u&gt; (At the end of its owner's turn the specified asset permanently loses 1 health.).&lt;br/&gt;&lt;i&gt;Walk Away&lt;/i&gt; -- That combatant permanently gains +0/+1, draw 2 cards, then your commander loses 2 loyalty.&lt;/ul&gt;&lt;/p&gt;</t>
  </si>
  <si>
    <t>RU_001</t>
  </si>
  <si>
    <t xml:space="preserve">Overexposed Finishing Blow</t>
  </si>
  <si>
    <t>1RR</t>
  </si>
  <si>
    <t xml:space="preserve">&lt;p&gt;~ costs [1] less if you didn't go first.&lt;/p&gt;&lt;p&gt;Choose a melee combatant; until end of turn, it both deals and takes double damage.&lt;/p&gt;</t>
  </si>
  <si>
    <t xml:space="preserve">Too Strong?</t>
  </si>
  <si>
    <t>YU_001</t>
  </si>
  <si>
    <t xml:space="preserve">High Kick</t>
  </si>
  <si>
    <t>1Y</t>
  </si>
  <si>
    <t>6</t>
  </si>
  <si>
    <t xml:space="preserve">&lt;p&gt;Choose an explicitly Female, melee combatant; until end of turn, it gets +4/-2.&lt;/p&gt;&lt;p&gt;If ~ is deployed during combat, after interceptors have been declared, until end of turn, gain control of a &lt;u&gt;Male&lt;/u&gt; (If a card doesn't explicitly say Male or Female it counts as both.) combatant not actively participating in combat of your choice. Refresh that asset.&lt;/p&gt;</t>
  </si>
  <si>
    <t>MC_RY_001</t>
  </si>
  <si>
    <t xml:space="preserve">Masochistic Angel</t>
  </si>
  <si>
    <t>___</t>
  </si>
  <si>
    <t>3</t>
  </si>
  <si>
    <t xml:space="preserve">([_] can be paid with either [R] or [Y].)&lt;p&gt;Whenever ~ is chosen, until end of turn, it gets +2/+0.&lt;/p&gt;</t>
  </si>
  <si>
    <t>MC_RY_002</t>
  </si>
  <si>
    <t xml:space="preserve">Nether Stomp</t>
  </si>
  <si>
    <t>2</t>
  </si>
  <si>
    <t xml:space="preserve">&lt;center&gt;([_] can be paid with either [R] or [Y])&lt;/center&gt;&lt;p&gt;&lt;center&gt;&lt;u&gt;Advantageous&lt;/u&gt; (When ~ resolves, draw a card.)&lt;/center&gt;&lt;/p&gt;&lt;p&gt;Choose a melee combatant you control and another combatant; the combatant you control deals damage equal to its attack power to the one you don't.&lt;/p&gt;</t>
  </si>
  <si>
    <t>CC_001</t>
  </si>
  <si>
    <t xml:space="preserve">Angel's Katana</t>
  </si>
  <si>
    <t xml:space="preserve">Equipment Sword</t>
  </si>
  <si>
    <t xml:space="preserve">&lt;center&gt;&lt;u&gt;Tradeable&lt;/u&gt; (Once each turn, you may pay ~'s cost, if you do choose another combatant; attach ~ to it.)&lt;/center&gt;&lt;p&gt;When ~ enters the battlefield, choose a combatant to attach it to&lt;/p&gt;&lt;p&gt;The attached combatant gets +3/+0, &lt;u&gt;permanence&lt;/u&gt;, and melee.&lt;/p&gt;</t>
  </si>
  <si>
    <t>YR_001</t>
  </si>
  <si>
    <t xml:space="preserve">Underworld Crowd</t>
  </si>
  <si>
    <t>2YY</t>
  </si>
  <si>
    <t xml:space="preserve">Human Mob</t>
  </si>
  <si>
    <t xml:space="preserve">&lt;center&gt;&lt;u&gt;Mob&lt;/u&gt; (You, not your opponent, choose how combat damage is divided among the intercepted and intercepting mobs you control.), &lt;u&gt;Warrant&lt;/u&gt; (When you deploy ~, shuffle an 'Incarceration' into your deck.)&lt;/center&gt;&lt;p&gt;~ can't be damaged or chosen by anything Order ([B]).&lt;/p&gt;</t>
  </si>
  <si>
    <t xml:space="preserve">"All of our patrons know how to avoid the authorities... can't afford to have our little operation exposed. That would be very bad for business." &lt;p&gt;-- Kyoko&lt;/p&gt;</t>
  </si>
  <si>
    <t>RC_001</t>
  </si>
  <si>
    <t xml:space="preserve">Sadistic Angel</t>
  </si>
  <si>
    <t>2R</t>
  </si>
  <si>
    <t xml:space="preserve">&lt;center&gt;&lt;u&gt;Armed -- 'Angel's Katana'&lt;/u&gt; (~ enters the battlefield with a transient &lt;i&gt;'Angel's Katana'&lt;/i&gt; attached to it.), &lt;u&gt;Retribution&lt;/u&gt; (When you draw ~ as a result of taking damage, you may deploy it without paying its cost.)&lt;/center&gt;</t>
  </si>
  <si>
    <t xml:space="preserve">"You know if I take an arm with me during a fight... their handler will just get them a new one."</t>
  </si>
  <si>
    <t>RC_002</t>
  </si>
  <si>
    <t xml:space="preserve">Rookie Angel</t>
  </si>
  <si>
    <t xml:space="preserve">Human Child Female Gladiator</t>
  </si>
  <si>
    <t xml:space="preserve">&lt;center&gt;&lt;u&gt;Brutal&lt;/u&gt; (~ deals combat damage before assets without brutal.), &lt;u&gt;Bleeding&lt;/u&gt; (At the end of your turn ~ permanently loses 1 health.)&lt;/center&gt;</t>
  </si>
  <si>
    <t xml:space="preserve">"You better not lose another fight! You hear me? Unless you want a long hard week in the red light district."&lt;p&gt;-- Handler&lt;/p&gt;</t>
  </si>
  <si>
    <t>RC_003</t>
  </si>
  <si>
    <t xml:space="preserve">Match Thrower</t>
  </si>
  <si>
    <t>Y</t>
  </si>
  <si>
    <t xml:space="preserve">Human Female Gladiator</t>
  </si>
  <si>
    <t xml:space="preserve">&lt;center&gt;&lt;u&gt;Exchange [R]&lt;/u&gt; (Pay [R], Discard ~ from your hand: Draw a card.)&lt;/center&gt;&lt;p&gt;When ~ enters the battlefield, it permanently gets -4/-4 unless an opponent of your choice draws 2 cards.&lt;/p&gt;</t>
  </si>
  <si>
    <t>MC_RY_003</t>
  </si>
  <si>
    <t xml:space="preserve">Angel Handler</t>
  </si>
  <si>
    <t xml:space="preserve">Human Executive</t>
  </si>
  <si>
    <t>1</t>
  </si>
  <si>
    <t xml:space="preserve">&lt;center&gt;([_] can be paid with either [R] or [Y])&lt;br/&gt;&lt;u&gt;Advantageous&lt;/u&gt; (When ~ resolves, draw a card.)&lt;/center&gt;</t>
  </si>
  <si>
    <t>CC_002</t>
  </si>
  <si>
    <t xml:space="preserve">Vital Tracker</t>
  </si>
  <si>
    <t xml:space="preserve">Equipment Link</t>
  </si>
  <si>
    <t xml:space="preserve">When ~ enters the battlefield, choose a combatant you own to attach it to.&lt;p&gt;At the beginning of your turn, if you don't control the attached asset, gain control of it.&lt;/p&gt;</t>
  </si>
  <si>
    <t xml:space="preserve">"I may have a thr1 and the power that comes from fear... but I am just as much a prisoner as any of the others" &lt;p&gt;-- Hana&lt;/p&gt;</t>
  </si>
  <si>
    <t>MR_RY_004</t>
  </si>
  <si>
    <t xml:space="preserve">Unhinged Pyromaniac</t>
  </si>
  <si>
    <t>2RY</t>
  </si>
  <si>
    <t xml:space="preserve">&lt;center&gt;Effects you control have &lt;u&gt;permanence&lt;/u&gt; (Damage they deal permanently reduces the health of assets which they damage.)&lt;/center&gt;</t>
  </si>
  <si>
    <t xml:space="preserve">"Ashes! Ashes! They all fall down!"</t>
  </si>
  <si>
    <t>YU_005</t>
  </si>
  <si>
    <t xml:space="preserve">Pit's Red Light District</t>
  </si>
  <si>
    <t>Prison</t>
  </si>
  <si>
    <t xml:space="preserve">([_] can be paid with either [R] or [Y])&lt;p&gt;When you deploy ~, choose a combatant you control; set it aside until ~ leaves the battlefield. At the end of each of your turns, the set aside asset permanently gets -1/-1, if it would die &lt;u&gt;Forfeit&lt;/u&gt; (Put the specified card into its owner's discard.) ~.&lt;/p&gt;&lt;p&gt;[T]: Add 1 energy of the set aside asset's type.&lt;/p&gt;&lt;p&gt;[T]: &lt;u&gt;Forfeit&lt;/u&gt; ~.&lt;/p&gt;</t>
  </si>
  <si>
    <t>RYPG</t>
  </si>
  <si>
    <t xml:space="preserve">Angel Pit Arena</t>
  </si>
  <si>
    <t>Generator</t>
  </si>
  <si>
    <t xml:space="preserve">&lt;center&gt;(Generators are not assets or effects. You may only play ~ whenever you have the option to hire a generator, instead of hiring any other card as a generator.)&lt;/center&gt;&lt;p&gt;When you hire ~ choose a combatant you control; it permanently gains &lt;u&gt;bleeding&lt;/u&gt;.&lt;/p&gt;&lt;p&gt;[T], &lt;u&gt;Forfeit&lt;/u&gt; (Put the specified card into its owner's discard.) ~: You may search your deck of an Emotion or Entropy card; if you do, hire it as a generator, then shuffle your deck.&lt;/p&gt;</t>
  </si>
  <si>
    <t>M_CMDR_RG_001</t>
  </si>
  <si>
    <t xml:space="preserve">robot reanimator</t>
  </si>
  <si>
    <t xml:space="preserve">Clearview Dynamics/Robot Reanimator</t>
  </si>
  <si>
    <t>M_CMDR_RB_001</t>
  </si>
  <si>
    <t xml:space="preserve">self mill</t>
  </si>
  <si>
    <t>M_CMDR_RP_001</t>
  </si>
  <si>
    <t xml:space="preserve">?, Media Mogul</t>
  </si>
  <si>
    <t>1RP</t>
  </si>
  <si>
    <t xml:space="preserve">Human Reporter</t>
  </si>
  <si>
    <t xml:space="preserve">&lt;p&gt;&lt;i&gt;As Commander&lt;/i&gt; -- Each player plays with the top card of their deck revealed.&lt;/p&gt;&lt;p&gt;&lt;i&gt;As Asset&lt;/i&gt; -- [T]: Each player &lt;u&gt;decays 1&lt;/u&gt; (They each put the top card of their deck into their discard.)&lt;/p&gt;</t>
  </si>
  <si>
    <t xml:space="preserve">Top of deck control/Media empire</t>
  </si>
  <si>
    <t>M_CMDR_RP_001b</t>
  </si>
  <si>
    <t>CR_002</t>
  </si>
  <si>
    <t xml:space="preserve">Evidence Camera</t>
  </si>
  <si>
    <t>Camera</t>
  </si>
  <si>
    <t xml:space="preserve">&lt;p&gt;[T]: Look at the top card of any player's deck, you may put it on the bottom.&lt;/p&gt;&lt;p&gt;[1][P], [T]: Choose a player to draw a card.&lt;/p&gt;&lt;p&gt;Once ~ has been exhausted 5 times, choose a player to gain 5 loyalty.&lt;/p&gt;</t>
  </si>
  <si>
    <t>MR_RP_001</t>
  </si>
  <si>
    <t xml:space="preserve">Presentation of Compromising Information</t>
  </si>
  <si>
    <t>2RP</t>
  </si>
  <si>
    <t>Report</t>
  </si>
  <si>
    <t>10</t>
  </si>
  <si>
    <t xml:space="preserve">&lt;center&gt;(This effect can only be deployed if you control a renowned asset. Banked energy can't be spent to deploy renowned cards.)&lt;/center&gt;&lt;p&gt;Each opponent's commander loses &lt;u&gt;X&lt;/u&gt; (X is the number of revealed cards in their hand.) loyalty.&lt;/p&gt;</t>
  </si>
  <si>
    <t>MR_RP_002</t>
  </si>
  <si>
    <t xml:space="preserve">Undermine the Competition</t>
  </si>
  <si>
    <t>3RP</t>
  </si>
  <si>
    <t xml:space="preserve">&lt;center&gt;&lt;u&gt;Prepare 3 -- [R][P]&lt;/u&gt; (Pay [R][P] and put ~ into your deck third from the top. When you would draw ~, instead deploy it without paying its cost.)&lt;/center&gt;&lt;p&gt;Choose a player; they discard 3 cards.&lt;/p&gt;</t>
  </si>
  <si>
    <t>RU_002</t>
  </si>
  <si>
    <t xml:space="preserve">Covert Interview</t>
  </si>
  <si>
    <t>1R</t>
  </si>
  <si>
    <t xml:space="preserve">&lt;p&gt;As ~ resolves you may pay [R] or [P], if you do, choose a player to &lt;u&gt;decay 1&lt;/u&gt; (The specified player puts the top card of their deck into their discard.)&lt;/p&gt;&lt;p&gt;Chose an opponent to reveal 3 unrevealed cards of their choice in their hand (If they have 3 or less unrevealed cards they reveal their hand instead) and then discard a card of your choice.&lt;/p&gt;</t>
  </si>
  <si>
    <t>RU_003</t>
  </si>
  <si>
    <t xml:space="preserve">Information Sniffer</t>
  </si>
  <si>
    <t>RRR</t>
  </si>
  <si>
    <t xml:space="preserve">AI Reporter</t>
  </si>
  <si>
    <t xml:space="preserve">&lt;p&gt;Whenever a player draws a card, their commander loses 1 loyalty (this does not cause them to draw more cards.)&lt;/p&gt;&lt;p&gt;If ~ is in a vehicle, its effect is only applied to your opponents.&lt;/p&gt;</t>
  </si>
  <si>
    <t>MU_RP_001</t>
  </si>
  <si>
    <t xml:space="preserve">Intrepid Reporter</t>
  </si>
  <si>
    <t>RP</t>
  </si>
  <si>
    <t xml:space="preserve">&lt;p&gt;&lt;u&gt;Uninterceptable&lt;/u&gt; (~ can't be intercepted.)&lt;/p&gt;&lt;p&gt;Whenever ~ deals damage to a commander, each player reveals the top card of their deck. You may put any of those cards into their owner's discard.&lt;/p&gt;</t>
  </si>
  <si>
    <t>PC_001</t>
  </si>
  <si>
    <t xml:space="preserve">Expose the Corruption</t>
  </si>
  <si>
    <t>P</t>
  </si>
  <si>
    <t xml:space="preserve">&lt;center&gt;Choose any number of players to &lt;u&gt;decay 1&lt;/u&gt; (The specified players each put the top card of their deck into their discard.)&lt;/center&gt;</t>
  </si>
  <si>
    <t>M_CMDR_OY_001</t>
  </si>
  <si>
    <t xml:space="preserve">Brian Krenitsco, Label Manager</t>
  </si>
  <si>
    <t>OOYY</t>
  </si>
  <si>
    <t xml:space="preserve">&lt;center&gt;(Becomes &lt;i&gt;'Record Sales'&lt;/i&gt; if you already control ~@.)&lt;/center&gt;&lt;p&gt;&lt;b&gt;&lt;i&gt;As Commander&lt;/i&gt; --&lt;/b&gt; Combatants you control, with matching attack power and health, cost 1 energy of any type less.&lt;/p&gt;&lt;p&gt;&lt;b&gt;&lt;i&gt;As Asset&lt;/i&gt; -- &lt;/b&gt; Whenever a card in your deck has its attack power or health changed, you may pay [O] or [Y]; if you do, change the other stat to match.&lt;/p&gt;</t>
  </si>
  <si>
    <t xml:space="preserve">Kpop deck enhance agro</t>
  </si>
  <si>
    <t xml:space="preserve">[center][i][color=#34343A](Becomes [i]'Record Sales'[/i] if you already control [i]Brian Krenitsco[/i].)[/color][/i][/center][p][b][i]As Commander[/i] —[/b] Combatants you control, with matching attack power and health, cost 1 energy of any type less.[font_size=15]\n\n[/font_size][b][i]As Asset[/i] — [/b] Whenever a card in your deck has its attack power or health changed, you may pay [img=45]res://textures/icons/O.png[/img] or [img=45]res://textures/icons/Y.png[/img]; if you do, change the other stat to match.[/p]</t>
  </si>
  <si>
    <t>M_CMDR_OY_001b</t>
  </si>
  <si>
    <t xml:space="preserve">Record Sales</t>
  </si>
  <si>
    <t>1OOYY</t>
  </si>
  <si>
    <t xml:space="preserve">&lt;p&gt;Choose a player, then choose one:&lt;ul&gt;Every card in that player's deck permanently has its attack power set equal to its health.&lt;br/&gt;Every card in that player's deck permanently has its its health set equal to its attack power.&lt;/ul&gt;(This is not a continuous effect)&lt;/p&gt;&lt;p&gt;&lt;u&gt;Personal&lt;/u&gt; (Shuffle &lt;i&gt;'?, Label Manager'&lt;/i&gt; into your deck.)&lt;/p&gt;</t>
  </si>
  <si>
    <t>MR_OY_001</t>
  </si>
  <si>
    <t xml:space="preserve">Nama, Digital Diva</t>
  </si>
  <si>
    <t>3OY</t>
  </si>
  <si>
    <t xml:space="preserve">AI Female Musician</t>
  </si>
  <si>
    <t xml:space="preserve">&lt;center&gt;(If you obtain another card with the same name as ~, you must choose one to keep and another to send to its owner's discard. Banked energy can't be spent to deploy renowned cards. Becomes &lt;i&gt;'"...Realize I'm merely an imitation of humans."'&lt;/i&gt; if you already control ~.)&lt;/center&gt;&lt;p&gt;Whenever another combatant enters the battlefield, draw a card.&lt;/p&gt;</t>
  </si>
  <si>
    <t>MR_OY_001b</t>
  </si>
  <si>
    <t xml:space="preserve">'...Realize I'm merely an imitation of humans.'</t>
  </si>
  <si>
    <t>_</t>
  </si>
  <si>
    <t xml:space="preserve">&lt;u&gt;Personal&lt;/u&gt; Melody</t>
  </si>
  <si>
    <t xml:space="preserve">&lt;center&gt;(This effect can only be deployed if you control a renowned asset. Banked energy can't be spent to deploy renowned cards. [_] can be paid with either [O] or [Y].)&lt;/center&gt;&lt;p&gt;Choose a combatant; until end of turn, it gets your choice of -2/-0, -1/-0, +0/+1, or +0/+2.&lt;/p&gt;&lt;p&gt;&lt;u&gt;Personal&lt;/u&gt; (Shuffle &lt;i&gt;'Nama, Digital Diva'&lt;/i&gt; into your deck.)&lt;/p&gt;</t>
  </si>
  <si>
    <t xml:space="preserve">The Disappearance of Hatsune Miku</t>
  </si>
  <si>
    <t xml:space="preserve">Orange Yellow</t>
  </si>
  <si>
    <t>OR_001</t>
  </si>
  <si>
    <t xml:space="preserve">Band Equipment</t>
  </si>
  <si>
    <t>3O</t>
  </si>
  <si>
    <t>Equipment</t>
  </si>
  <si>
    <t xml:space="preserve">&lt;center&gt;&lt;u&gt;Exchange [2]&lt;/u&gt; (Pay [2], Discard this card from your hand: Draw a card.)&lt;/center&gt;&lt;p&gt;When ~ enters the battlefield, choose upto 5 combatants to attach it to. Treat all chosen assets as a single unit with all of their effects, as well as all of their combined stats.&lt;/p&gt;&lt;p&gt;The combined unit has "&lt;i&gt;Harmonize&lt;/i&gt; -- As long as the combined unit's attack power and health are the same, it gets +1/+1 for each asset intercepting it."&lt;/p&gt;</t>
  </si>
  <si>
    <t xml:space="preserve">"Every1 looks up to these kids. I don't think any of them realize what goes on behind the scenes." &lt;p&gt;-- Unremarkable Venue Janitor.&lt;/p&gt;</t>
  </si>
  <si>
    <t>RY_002</t>
  </si>
  <si>
    <t xml:space="preserve">'Living in the Shadows'</t>
  </si>
  <si>
    <t>3YY</t>
  </si>
  <si>
    <t>Melody</t>
  </si>
  <si>
    <t xml:space="preserve">&lt;center&gt;(This effect can only be deployed if you control a renowned asset. Banked energy can't be spent to deploy renowned cards.)&lt;/center&gt;&lt;p&gt;~ can only be deployed during combat, before you declare attackers.&lt;/p&gt;&lt;p&gt;Put a combatant from your hand onto the battlefield declared as an attacker. Return it to your hand at end of turn.&lt;/p&gt;</t>
  </si>
  <si>
    <t xml:space="preserve">Addicted, Vivziepop</t>
  </si>
  <si>
    <t>RY_003</t>
  </si>
  <si>
    <t xml:space="preserve">Ecdysiast Singer</t>
  </si>
  <si>
    <t>2Y</t>
  </si>
  <si>
    <t xml:space="preserve">Augmented Female Civilian Musician</t>
  </si>
  <si>
    <t xml:space="preserve">&lt;i&gt;Harmonize&lt;/i&gt; -- Whenever ~ deals combatant damage to a commander, if its attack power and health are the same, choose a Human combatant; permanently gain control of it.</t>
  </si>
  <si>
    <t>https://www.artstation.com/artwork/lxE2kY</t>
  </si>
  <si>
    <t>OR_002</t>
  </si>
  <si>
    <t xml:space="preserve">Anti-Establishment Hymnist</t>
  </si>
  <si>
    <t>1O</t>
  </si>
  <si>
    <t xml:space="preserve">Augmented Male Civilian Musician</t>
  </si>
  <si>
    <t xml:space="preserve">&lt;i&gt;Harmonize/Strength in Numbers&lt;/i&gt; -- Whenever ~ attacks, if its attack power and health are the same, choose another combatant, that combatant attacks with ~; until end of turn, the lower of its attack power or health is increased to match the higher.</t>
  </si>
  <si>
    <t xml:space="preserve">I have a heavy metal vision for this card</t>
  </si>
  <si>
    <t>YU_002</t>
  </si>
  <si>
    <t xml:space="preserve">You Have a Backstage Meltdown...</t>
  </si>
  <si>
    <t>YY</t>
  </si>
  <si>
    <t xml:space="preserve">&lt;u&gt;Decision&lt;/u&gt; &lt;u&gt;Response&lt;/u&gt;</t>
  </si>
  <si>
    <t xml:space="preserve">&lt;center&gt;&lt;u&gt;Decision&lt;/u&gt; (You many only choose one of the bulleted options.), &lt;u&gt;Retribution&lt;/u&gt;&lt;/center&gt;&lt;ul&gt;&lt;i&gt;Trash the Room&lt;/i&gt; -- ~ deals 4 damage to each combatant whose attack power is not the same as its health.&lt;br/&gt;&lt;i&gt;Fire Everyone&lt;/i&gt; -- &lt;u&gt;Forfeit&lt;/u&gt; (Put the specified cards into their owners' discard.) any number of combatants you control.&lt;/ul&gt;</t>
  </si>
  <si>
    <t xml:space="preserve">"It must be perfect! Fuck you and your 'its fines.'" &lt;p&gt;-- ?, Popstar&lt;/p&gt;</t>
  </si>
  <si>
    <t>MU_OY_001</t>
  </si>
  <si>
    <t xml:space="preserve">Vocal Training</t>
  </si>
  <si>
    <t xml:space="preserve">&lt;center&gt;([_] can be paid with either [O] or [Y].)&lt;br/&gt;&lt;u&gt;Append to Card [1][O][Y]&lt;/u&gt; (As you deploy a card you may reveal ~ and pay [1][O][Y]. If you do add this card's effects as it resolves; it loses those effects once it leaves the stack.)&lt;/center&gt;&lt;p&gt;Choose a combatant, until end of turn, the lower of its attack power or health is increased to match the higher.&lt;/p&gt;</t>
  </si>
  <si>
    <t>OU_001</t>
  </si>
  <si>
    <t xml:space="preserve">Inspiring Message</t>
  </si>
  <si>
    <t xml:space="preserve">&lt;center&gt;&lt;u&gt;Prepare 2 -- [Y]&lt;/u&gt; (Pay [Y] and put ~ into your deck second from the top. When you would draw ~, instead deploy it without paying its cost.)&lt;/center&gt;&lt;p&gt;Choose a combatant, until end of turn it gains, "&lt;i&gt;Harmonize&lt;/i&gt; -- As long as this combatant's attack power and health are the same, it gets +1/+1 for each asset intercepting it."&lt;/p&gt;</t>
  </si>
  <si>
    <t>MU_OY_002</t>
  </si>
  <si>
    <t xml:space="preserve">'Gonna Jump Now and Be Free'</t>
  </si>
  <si>
    <t>1OY</t>
  </si>
  <si>
    <t xml:space="preserve">Melody &lt;u&gt;Response&lt;/u&gt;</t>
  </si>
  <si>
    <t xml:space="preserve">&lt;p&gt;As an additional cost to deploy ~, &lt;u&gt;forfeit&lt;/u&gt; (Put the specified card into its owner's discard.) a combatant you control.&lt;/p&gt;&lt;p&gt;The top card of your deck costs the forfeited cards cost less (ex. If you forfeit ~,  the card will cost [1][O][Y] less, matching energy types exactly.)&lt;/p&gt;</t>
  </si>
  <si>
    <t xml:space="preserve">My-R, Hatsune Miku</t>
  </si>
  <si>
    <t>MU_OY_003</t>
  </si>
  <si>
    <t xml:space="preserve">Musician's Laptop</t>
  </si>
  <si>
    <t xml:space="preserve">Equipment Laptop</t>
  </si>
  <si>
    <t xml:space="preserve">&lt;center&gt;([_] can be paid with either [O] or [Y].)&lt;br/&gt;&lt;u&gt;Tradeable&lt;/u&gt;&lt;/center&gt;&lt;p&gt;When ~ enters the battlefield, choose a combatant to attach it to.&lt;/p&gt;&lt;p&gt;&lt;i&gt;Harmonize&lt;/i&gt; -- Whenever the attached asset attacks or intercepts, if its attack power and health are the same, draw a card.&lt;/p&gt;</t>
  </si>
  <si>
    <t>MU_OY_004</t>
  </si>
  <si>
    <t>Infatuation</t>
  </si>
  <si>
    <t>1__</t>
  </si>
  <si>
    <t>Emotion</t>
  </si>
  <si>
    <t xml:space="preserve">([_] can be paid with either [O] or [Y].)&lt;p&gt;Choose 2 combatants in your hand; reveal them, then as long you control the other, each one has &lt;u&gt;rush&lt;/u&gt; (It can attack and intercept as soon as it enters the battlefield, but it can't be explicitly exhausted.) and doubled attack power (the doubled attack power doesn't stack.)&lt;/p&gt;</t>
  </si>
  <si>
    <t>MC_OY_001</t>
  </si>
  <si>
    <t xml:space="preserve">The Girl Behind the Screen</t>
  </si>
  <si>
    <t xml:space="preserve">Human Female Civilian Actor</t>
  </si>
  <si>
    <t xml:space="preserve">([_] can be paid with either [O] or [Y].)&lt;p&gt;&lt;i&gt;Harmonize&lt;/i&gt; -- As long as ~'s attack power and touphness are the same, it gets +2/+2.&lt;/p&gt;</t>
  </si>
  <si>
    <t xml:space="preserve">Every AI has a voice bank behind it, likewise every star hiding behind a two-dimensional facade has an actor behind it.</t>
  </si>
  <si>
    <t>MC_OY_002</t>
  </si>
  <si>
    <t xml:space="preserve">Cocaine Induced Inspiration</t>
  </si>
  <si>
    <t>Drug</t>
  </si>
  <si>
    <t xml:space="preserve">([_] can be paid with either [O] or [Y].)&lt;p&gt;&lt;u&gt;Forfeit&lt;/u&gt; (Put the specified card into its owner's discard.) ~: The top &lt;u&gt;X&lt;/u&gt; (X is 1 plus the number of times ~ has been deployed this game.) combatants in your deck permanently gain +1/+0.&lt;/p&gt;&lt;p&gt;You may pay an additional [O][Y] as you forfeit ~; if you do triple X.&lt;/p&gt;</t>
  </si>
  <si>
    <t>MC_OY_003</t>
  </si>
  <si>
    <t xml:space="preserve">Pitch Correction Implant</t>
  </si>
  <si>
    <t>4</t>
  </si>
  <si>
    <t xml:space="preserve">&lt;center&gt;(If a Human asset has an Augmentation attached, it becomes Augmented.)&lt;/center&gt;&lt;p&gt;When ~ enters the battlefield, choose a combatant to attach it to.&lt;/p&gt;&lt;p&gt;Attached combatant has the lower of its attack power or health increased to match the higher.&lt;/p&gt;</t>
  </si>
  <si>
    <t xml:space="preserve">"We no longer have to fix their performances in post."</t>
  </si>
  <si>
    <t>YC_001</t>
  </si>
  <si>
    <t xml:space="preserve">Street Performer</t>
  </si>
  <si>
    <t xml:space="preserve">Human Male Civilian Musician</t>
  </si>
  <si>
    <t xml:space="preserve">&lt;i&gt;Harmonize&lt;/i&gt; -- Whenever ~ deals combat damage to a commander, if its attack power and health are the same, you may choose a card in your hand; it permanently gains +0/+2.</t>
  </si>
  <si>
    <t xml:space="preserve">"The folks around here always seem a little down, I try my best to lighten the mood."</t>
  </si>
  <si>
    <t>YC_002</t>
  </si>
  <si>
    <t xml:space="preserve">'I'm Addicted to the Madness'</t>
  </si>
  <si>
    <t xml:space="preserve">The top combatant in your deck permanently gains one of &lt;u&gt;brutal&lt;/u&gt; (It deals combat damage before assets without brutal.), &lt;u&gt;rush&lt;/u&gt; (It can attack and intercept as soon as it enters the battlefield, but it can't be explicitly exhausted.), +1/-1, or -1/+1 at random.</t>
  </si>
  <si>
    <t>YC_003</t>
  </si>
  <si>
    <t xml:space="preserve">Tour Deadlines</t>
  </si>
  <si>
    <t>XY</t>
  </si>
  <si>
    <t xml:space="preserve">&lt;center&gt;The top [X] combatants in your deck permanently gain &lt;u&gt;rush&lt;/u&gt; (They can attack and intercept as soon as they enter the battlefield, but it can't be explicitly exhausted.)&lt;/center&gt;</t>
  </si>
  <si>
    <t>YC_004</t>
  </si>
  <si>
    <t xml:space="preserve">Sway of the Music</t>
  </si>
  <si>
    <t xml:space="preserve">([_] can be paid with either [O] or [Y].)&lt;p&gt;Choose a combatant; until end of turn, swap its attack power and health.&lt;/p&gt;</t>
  </si>
  <si>
    <t>MC_OY_004</t>
  </si>
  <si>
    <t xml:space="preserve">Amp up the Volume</t>
  </si>
  <si>
    <t xml:space="preserve">&lt;center&gt;([_] can be paid with either [O] or [Y].)&lt;/center&gt;&lt;p&gt;&lt;center&gt;&lt;u&gt;Advantageous&lt;/u&gt; (When ~ resolves, draw a card.)&lt;/center&gt;&lt;/p&gt;&lt;p&gt;Choose a combatant; until end of turn, it gets +2/+0.&lt;/p&gt;</t>
  </si>
  <si>
    <t>MC_OY_005</t>
  </si>
  <si>
    <t xml:space="preserve">Bedroom Star</t>
  </si>
  <si>
    <t>1_</t>
  </si>
  <si>
    <t xml:space="preserve">Human Child Civilian Musician Student</t>
  </si>
  <si>
    <t xml:space="preserve">([_] can be paid with either [O] or [Y].)&lt;p&gt;~ costs [1] less to deploy if you didn't go first.&lt;/p&gt;&lt;p&gt;&lt;i&gt;Harmonize&lt;/i&gt; -- Each time ~ has attacked or intercepted twice, while its attack power and health were the same; the top combatant of your deck permanently gets +1/+1.&lt;/p&gt;</t>
  </si>
  <si>
    <t>OYPG</t>
  </si>
  <si>
    <t xml:space="preserve">Concert Stage</t>
  </si>
  <si>
    <t xml:space="preserve">&lt;center&gt;(Generators are not assets or effects. You may only play ~ whenever you have the option to hire a generator, instead of hiring any other card as a generator.)&lt;/center&gt;&lt;p&gt;When you hire ~ choose a combatant you control; it permanently gains &lt;u&gt;sluggish&lt;/u&gt;.&lt;/p&gt;&lt;p&gt;[T], &lt;u&gt;Forfeit&lt;/u&gt; (Put the specified card into its owner's discard.) ~: You may search your deck of an Emotion or Unrest card; if you do, hire it as a generator, then shuffle your deck.&lt;/p&gt;</t>
  </si>
  <si>
    <t>M_CMDR_OG_001</t>
  </si>
  <si>
    <t xml:space="preserve">Shield midrange</t>
  </si>
  <si>
    <t>M_CMDR_OB_001</t>
  </si>
  <si>
    <t>Drones</t>
  </si>
  <si>
    <t>.</t>
  </si>
  <si>
    <t>M_CMDR_OP_001</t>
  </si>
  <si>
    <t xml:space="preserve">Virus/Hacker midrange</t>
  </si>
  <si>
    <t>M_CMDR_YG_001</t>
  </si>
  <si>
    <t xml:space="preserve">Bullet Spellslinger</t>
  </si>
  <si>
    <t>MU_YG_001</t>
  </si>
  <si>
    <t xml:space="preserve">Impressive Shot</t>
  </si>
  <si>
    <t>1YG</t>
  </si>
  <si>
    <t xml:space="preserve">Trickshot Style &lt;u&gt;Response&lt;/u&gt;</t>
  </si>
  <si>
    <t xml:space="preserve">~ costs [1] less to deploy if you didn't go first.&lt;p&gt;Choose anything to take 3 damage, anything else to take 2 damage, and a third thing to take 1 damage.&lt;/p&gt;&lt;p&gt;Create a 'Bullet' on the battlefield for each combatant or commander killed this way.&lt;/p&gt;</t>
  </si>
  <si>
    <t>MC_YG_001</t>
  </si>
  <si>
    <t xml:space="preserve">Local Range's Prodigy</t>
  </si>
  <si>
    <t xml:space="preserve">Human Citizen</t>
  </si>
  <si>
    <t xml:space="preserve">&lt;center&gt;([_] can be paid with either [Y] or [G].)&lt;br/&gt;&lt;u&gt;Trickshot&lt;/u&gt; (The first time ~ is chosen by a style card each turn, create a 'Bullet' on the battlefield.)&lt;/center&gt;</t>
  </si>
  <si>
    <t xml:space="preserve"> Yellow Green</t>
  </si>
  <si>
    <t>M_CMDR_YB_001</t>
  </si>
  <si>
    <t xml:space="preserve">Emergency Response Administrator</t>
  </si>
  <si>
    <t>1YB</t>
  </si>
  <si>
    <t xml:space="preserve">Human Civilian Administrator</t>
  </si>
  <si>
    <t xml:space="preserve">&lt;p&gt;~ is not renowned.&lt;/p&gt;&lt;p&gt;As each round of the game starts, choose one, until end of round:&lt;ul&gt;Whenever a combatant you control deals combat damage to an opponent, your commander gains 1 loyalty.&lt;br/&gt;Whenever your commander gains loyalty, choose a combatant; &lt;u&gt;Heal it 1&lt;/u&gt;&lt;/ul&gt;&lt;/p&gt;&lt;p&gt;&lt;b&gt;&lt;i&gt;As Asset&lt;/i&gt; -- &lt;/b&gt;&lt;u&gt;Inexhaustible&lt;/u&gt;&lt;/p&gt;</t>
  </si>
  <si>
    <t xml:space="preserve">All of the assets use the same mode, at the start of the game if you have any number of this card you choose the mode which is shared by all of them until the end of the round.</t>
  </si>
  <si>
    <t xml:space="preserve">Lifegain aggro</t>
  </si>
  <si>
    <t>M_CMDR_YB_001b</t>
  </si>
  <si>
    <t xml:space="preserve">&lt;u&gt;Personal&lt;/u&gt; &lt;u&gt;Response&lt;/u&gt;</t>
  </si>
  <si>
    <t xml:space="preserve">(This effect can only be deployed if you control a renowned asset. Banked energy can't be spent to deploy renowned cards.)&lt;p&gt;Until end of turn, you have the passive of 'Emergency Response Administrator' not chosen at the beginning of the game.&lt;/p&gt;&lt;p&gt;&lt;u&gt;Personal&lt;/u&gt; (Shuffle &lt;i&gt;'?, Emergency Response Administrator'&lt;/i&gt; into your deck.)&lt;/p&gt;</t>
  </si>
  <si>
    <t>Remove?</t>
  </si>
  <si>
    <t xml:space="preserve">[T]: Choose a combatant; until end of turn, combat damage it deals both &lt;u&gt;heals&lt;/u&gt; it and is gained as loyalty.&lt;p&gt;&lt;u&gt;Hippocratic Oath&lt;/u&gt; -- [T]: Until end of turn, combat damage combatants you control deal both &lt;u&gt;heals&lt;/u&gt; them and is gained as loyalty (Activate this ability only if a combatant has taken damage this turn).&lt;/p&gt;</t>
  </si>
  <si>
    <t>BY_001</t>
  </si>
  <si>
    <t xml:space="preserve">?, Warzone Doctor</t>
  </si>
  <si>
    <t>B</t>
  </si>
  <si>
    <t xml:space="preserve">Human Doctor</t>
  </si>
  <si>
    <t xml:space="preserve">&lt;center&gt;(Becomes &lt;i&gt;'Show Administration What it's Like'&lt;/i&gt; if you already control ~.)&lt;/center&gt;&lt;p&gt;Each commander loses their &lt;b&gt;&lt;i&gt;As Commander&lt;/i&gt;&lt;/b&gt; ability.&lt;/p&gt;</t>
  </si>
  <si>
    <t>BY_001b</t>
  </si>
  <si>
    <t xml:space="preserve">Show Administration What it's Like</t>
  </si>
  <si>
    <t>Personal</t>
  </si>
  <si>
    <t xml:space="preserve">&lt;p&gt;When you deploy &lt;i&gt;this card&lt;/i&gt; you may pay an additional [1][B]. If you do, until end of turn, whenever your commander loses loyalty you may choose a combatant, &lt;u&gt;Heal it 1&lt;/u&gt;.&lt;/p&gt;&lt;p&gt;Choose a combatant, until end of turn, your commander becomes a copy of that combatant; except its health is linked to your commanders loyalty.&lt;/p&gt;&lt;p&gt;&lt;u&gt;Personal&lt;/u&gt; (Shuffle &lt;i&gt;'?, Warzone Doctor'&lt;/i&gt; into your deck.)&lt;/p&gt;</t>
  </si>
  <si>
    <t>MU_YB_001</t>
  </si>
  <si>
    <t xml:space="preserve">Junkie Patient</t>
  </si>
  <si>
    <t xml:space="preserve">Human Civilian Patient</t>
  </si>
  <si>
    <t xml:space="preserve">&lt;center&gt;Whenever ~ is healed, it permanently gets +1/+1.&lt;/center&gt;</t>
  </si>
  <si>
    <t>MU_YB_002</t>
  </si>
  <si>
    <t xml:space="preserve">Battle Medic</t>
  </si>
  <si>
    <t xml:space="preserve">Human Soldier Doctor</t>
  </si>
  <si>
    <t xml:space="preserve">&lt;center&gt;&lt;u&gt;Retribution&lt;/u&gt; (When you draw ~ as a result of taking damage, you may deploy it without paying its cost.)&lt;/center&gt;&lt;p&gt;When ~ enters the battlefield, choose a player or combatant; ~ deals 5 damage to it, then your commander gains 5 loyalty.&lt;/p&gt;</t>
  </si>
  <si>
    <t>MU_YB_003</t>
  </si>
  <si>
    <t xml:space="preserve">Refugee Nurse</t>
  </si>
  <si>
    <t xml:space="preserve">Human Female Civilian Patient</t>
  </si>
  <si>
    <t xml:space="preserve">&lt;center&gt;([_] can be paid with [Y] or [B].)&lt;/center&gt;&lt;p&gt;Whenever your commander gains loyalty, choose a combatant an opponent controls; ~ and that combatant both permanently gain +1/+1.&lt;/p&gt;</t>
  </si>
  <si>
    <t xml:space="preserve">Yellow Blue</t>
  </si>
  <si>
    <t>BU_003</t>
  </si>
  <si>
    <t xml:space="preserve">Camp Organizer</t>
  </si>
  <si>
    <t>2B</t>
  </si>
  <si>
    <t xml:space="preserve">&lt;center&gt;When you deploy ~, create a &lt;i&gt;'Camp Guard'&lt;/i&gt; in your hand; repeat this process until your hand is full.&lt;/center&gt;</t>
  </si>
  <si>
    <t>BU_003b</t>
  </si>
  <si>
    <t xml:space="preserve">Camp Guard</t>
  </si>
  <si>
    <t xml:space="preserve">&lt;u&gt;Transient&lt;/u&gt; Human Guard</t>
  </si>
  <si>
    <t xml:space="preserve">&lt;center&gt;&lt;u&gt;Transient&lt;/u&gt; (If ~ would enter your discard, instead remove it from the game.)&lt;/center&gt;</t>
  </si>
  <si>
    <t>MC_YB_001</t>
  </si>
  <si>
    <t xml:space="preserve">Frontline First Aid</t>
  </si>
  <si>
    <t xml:space="preserve">&lt;center&gt;([_] can be paid with [Y] or [B].)&lt;/center&gt;&lt;p&gt;Choose one; or two, if you pay an additional [_] as ~ resolves:&lt;ul&gt;Choose a combatant or commander; ~ deals 3 damage to it.&lt;br/&gt;Choose a combatant; &lt;u&gt;Heal it 3&lt;/u&gt; (If the specified asset has attack power or health reductions, reduce them by 3 [reducing permanent reductions first]. Otherwise remove 3 damage from it.)&lt;/ul&gt;&lt;/p&gt;</t>
  </si>
  <si>
    <t xml:space="preserve"> Yellow Blue</t>
  </si>
  <si>
    <t>M_CMDR_YP_001</t>
  </si>
  <si>
    <t xml:space="preserve">?, Head Roboticist</t>
  </si>
  <si>
    <t>3YP</t>
  </si>
  <si>
    <t xml:space="preserve">Augmented Researcher</t>
  </si>
  <si>
    <t xml:space="preserve">&lt;p&gt;&lt;i&gt;As Commander&lt;/i&gt; -- At the beginning of combat on your turn, you may redistribute the equipment you control.&lt;/p&gt;&lt;p&gt;&lt;i&gt;As Asset&lt;/i&gt; -- Whenever an &lt;u&gt;Augmentation&lt;/u&gt; enters the battlefield under your control, you may shuffle an &lt;u&gt;Augmentation&lt;/u&gt; in your discard into your deck.&lt;/p&gt;</t>
  </si>
  <si>
    <t xml:space="preserve">"It's funny how new discoveries have a habit of shining light on old ideas."</t>
  </si>
  <si>
    <t xml:space="preserve">Artifact (&lt;u&gt;Augmentation&lt;/u&gt;) Storm</t>
  </si>
  <si>
    <t>MU_YP_001</t>
  </si>
  <si>
    <t xml:space="preserve">Corporate Espionage</t>
  </si>
  <si>
    <t>1YP</t>
  </si>
  <si>
    <t xml:space="preserve">&lt;center&gt;&lt;u&gt;Advantageous&lt;/u&gt; (When ~ resolves, draw a card.), &lt;u&gt;Warrant&lt;/u&gt; (When you deploy ~, shuffle an 'Incarceration' into your deck.)&lt;/center&gt;&lt;p&gt;Choose a non-combatant asset an opponent controls; create a copy of it.&lt;/p&gt;</t>
  </si>
  <si>
    <t>YU_003</t>
  </si>
  <si>
    <t xml:space="preserve">Adrenaline Injector</t>
  </si>
  <si>
    <t xml:space="preserve">&lt;center&gt;(If a Human asset has an Augmentation attached, it becomes Augmented.)&lt;/center&gt;&lt;p&gt;When ~ enters the battlefield, choose a combatant to attach it to.&lt;/p&gt;&lt;p&gt;If the attached asset would die, it instead dies at the end of the turn.&lt;/p&gt;</t>
  </si>
  <si>
    <t>MC_YP_001</t>
  </si>
  <si>
    <t xml:space="preserve">Clearview Flagship</t>
  </si>
  <si>
    <t xml:space="preserve">&lt;center&gt;([_] can be paid with either [Y] or [P]. If a Human asset has an Augmentation attached, it becomes Augmented.)&lt;/center&gt;&lt;p&gt;When ~ enters the battlefield, choose a combatant to attach it to.&lt;/p&gt;&lt;p&gt;Attached combatant gets +1/+1.&lt;/p&gt;</t>
  </si>
  <si>
    <t xml:space="preserve">Clearview Dynamics is the leading firm in advanced prosthetics.</t>
  </si>
  <si>
    <t xml:space="preserve">Yellow Purple</t>
  </si>
  <si>
    <t>M_CMDR_GB_001</t>
  </si>
  <si>
    <t xml:space="preserve">Tax control</t>
  </si>
  <si>
    <t>MR_GB_001</t>
  </si>
  <si>
    <t xml:space="preserve">Organ Transplant</t>
  </si>
  <si>
    <t>4BG</t>
  </si>
  <si>
    <t xml:space="preserve">&lt;center&gt;(This effect can only be deployed if you control a renowned asset. Banked energy can't be spent to deploy renowned cards.)&lt;/center&gt;&lt;p&gt;Choose a commander to have its loyalty swapped with your commander's loyalty.&lt;/p&gt;</t>
  </si>
  <si>
    <t xml:space="preserve">prepare, exchange, append, go second, drawn from damage</t>
  </si>
  <si>
    <t>BC_001</t>
  </si>
  <si>
    <t xml:space="preserve">Hospital Press Manager</t>
  </si>
  <si>
    <t xml:space="preserve">&lt;center&gt;Whenever another combatant enters the battlefield, your commander gains 1 loyalty.&lt;/center&gt;</t>
  </si>
  <si>
    <t>M_CMDR_GP_001</t>
  </si>
  <si>
    <t xml:space="preserve">Megacorp New Hire (landfall) midrange</t>
  </si>
  <si>
    <t>MR_GP_001</t>
  </si>
  <si>
    <t xml:space="preserve">Corporate Ascension</t>
  </si>
  <si>
    <t>GP</t>
  </si>
  <si>
    <t>Latent</t>
  </si>
  <si>
    <t xml:space="preserve">&lt;p&gt;&lt;center&gt;If ~ has seen 20 generators enter the battlefield, you win the game.&lt;/center&gt;&lt;/p&gt;</t>
  </si>
  <si>
    <t xml:space="preserve">Is this card super incredibly busted?</t>
  </si>
  <si>
    <t>M_CMDR_BP_001</t>
  </si>
  <si>
    <t xml:space="preserve">vehicle ai control</t>
  </si>
  <si>
    <t xml:space="preserve">vehicle ai midrange</t>
  </si>
  <si>
    <t>MU_RY_005</t>
  </si>
  <si>
    <t xml:space="preserve">To The Death!</t>
  </si>
  <si>
    <t xml:space="preserve">Choose 2 combatants owned by different players; they can't attack nor intercept anything but each other. When the first one dies, its owner must sacrifice an asset (other than ~).</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</si>
</sst>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0">
    <font>
      <sz val="10.000000"/>
      <color indexed="64"/>
      <name val="Arial"/>
      <scheme val="minor"/>
    </font>
    <font>
      <color theme="1"/>
      <name val="Arial"/>
    </font>
    <font>
      <sz val="11.000000"/>
      <color theme="1"/>
      <name val="Arial"/>
    </font>
    <font>
      <color theme="1"/>
      <name val="Arial"/>
      <scheme val="minor"/>
    </font>
    <font>
      <sz val="11.000000"/>
      <color indexed="64"/>
      <name val="Arial"/>
    </font>
    <font>
      <color indexed="64"/>
      <name val="&quot;Arial&quot;"/>
    </font>
    <font>
      <u/>
      <color indexed="4"/>
      <name val="Arial"/>
    </font>
    <font>
      <color indexed="64"/>
      <name val="Arial"/>
    </font>
    <font>
      <color indexed="64"/>
      <name val="Roboto"/>
    </font>
    <font>
      <u/>
      <color indexed="4"/>
    </font>
  </fonts>
  <fills count="3">
    <fill>
      <patternFill patternType="none"/>
    </fill>
    <fill>
      <patternFill patternType="gray125"/>
    </fill>
    <fill>
      <patternFill patternType="solid">
        <fgColor indexed="65"/>
        <bgColor indexed="65"/>
      </patternFill>
    </fill>
  </fills>
  <borders count="1">
    <border>
      <left/>
      <right/>
      <top/>
      <bottom/>
      <diagonal/>
    </border>
  </borders>
  <cellStyleXfs count="1">
    <xf fontId="0" fillId="0" borderId="0" numFmtId="0" applyNumberFormat="1" applyFont="1" applyFill="1" applyBorder="1"/>
  </cellStyleXfs>
  <cellXfs count="24">
    <xf fontId="0" fillId="0" borderId="0" numFmtId="0" xfId="0"/>
    <xf fontId="1" fillId="0" borderId="0" numFmtId="0" xfId="0" applyFont="1"/>
    <xf fontId="1" fillId="0" borderId="0" numFmtId="49" xfId="0" applyNumberFormat="1" applyFont="1"/>
    <xf fontId="1" fillId="0" borderId="0" numFmtId="49" xfId="0" applyNumberFormat="1" applyFont="1" applyAlignment="1">
      <alignment horizontal="left"/>
    </xf>
    <xf fontId="1" fillId="0" borderId="0" numFmtId="0" xfId="0" applyFont="1" applyAlignment="1">
      <alignment wrapText="1"/>
    </xf>
    <xf fontId="2" fillId="2" borderId="0" numFmtId="0" xfId="0" applyFont="1" applyFill="1"/>
    <xf fontId="3" fillId="0" borderId="0" numFmtId="0" xfId="0" applyFont="1"/>
    <xf fontId="3" fillId="0" borderId="0" numFmtId="0" xfId="0" applyFont="1"/>
    <xf fontId="3" fillId="0" borderId="0" numFmtId="49" xfId="0" applyNumberFormat="1" applyFont="1"/>
    <xf fontId="4" fillId="2" borderId="0" numFmtId="0" xfId="0" applyFont="1" applyFill="1"/>
    <xf fontId="3" fillId="0" borderId="0" numFmtId="49" xfId="0" applyNumberFormat="1" applyFont="1" applyAlignment="1">
      <alignment horizontal="left"/>
    </xf>
    <xf fontId="3" fillId="0" borderId="0" numFmtId="0" xfId="0" applyFont="1" applyAlignment="1">
      <alignment wrapText="1"/>
    </xf>
    <xf fontId="3" fillId="0" borderId="0" numFmtId="49" xfId="0" applyNumberFormat="1" applyFont="1"/>
    <xf fontId="5" fillId="0" borderId="0" numFmtId="0" xfId="0" applyFont="1" applyAlignment="1">
      <alignment wrapText="1"/>
    </xf>
    <xf fontId="5" fillId="0" borderId="0" numFmtId="0" xfId="0" applyFont="1"/>
    <xf fontId="5" fillId="0" borderId="0" numFmtId="49" xfId="0" applyNumberFormat="1" applyFont="1"/>
    <xf fontId="1" fillId="0" borderId="0" numFmtId="0" xfId="0" applyFont="1" applyAlignment="1">
      <alignment horizontal="right"/>
    </xf>
    <xf fontId="6" fillId="0" borderId="0" numFmtId="0" xfId="0" applyFont="1" applyAlignment="1">
      <alignment wrapText="1"/>
    </xf>
    <xf fontId="7" fillId="2" borderId="0" numFmtId="0" xfId="0" applyFont="1" applyFill="1" applyAlignment="1">
      <alignment horizontal="left" wrapText="1"/>
    </xf>
    <xf fontId="8" fillId="2" borderId="0" numFmtId="0" xfId="0" applyFont="1" applyFill="1" applyAlignment="1">
      <alignment wrapText="1"/>
    </xf>
    <xf fontId="3" fillId="0" borderId="0" numFmtId="0" xfId="0" applyFont="1" applyAlignment="1">
      <alignment horizontal="left"/>
    </xf>
    <xf fontId="3" fillId="0" borderId="0" numFmtId="49" xfId="0" applyNumberFormat="1" applyFont="1" applyAlignment="1">
      <alignment horizontal="left" wrapText="1"/>
    </xf>
    <xf fontId="3" fillId="0" borderId="0" numFmtId="0" xfId="0" applyFont="1" quotePrefix="1"/>
    <xf fontId="9"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adox" id="{C89A3332-DB0A-0A9D-0307-D86F48E186EA}" userId="paradox"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G11" personId="{C89A3332-DB0A-0A9D-0307-D86F48E186EA}" id="{00A20044-0034-4425-B08B-00EB00E500AA}" done="0">
    <text xml:space="preserve">Response on a steal too strong?
</text>
  </threadedComment>
  <threadedComment ref="B12" personId="{C89A3332-DB0A-0A9D-0307-D86F48E186EA}" id="{004A00F5-009D-4882-AB50-00FA00A80068}" done="0">
    <text xml:space="preserve">Needs non-stolen name
</text>
  </threadedComment>
  <threadedComment ref="B111" personId="{C89A3332-DB0A-0A9D-0307-D86F48E186EA}" id="{00310024-00A0-47C8-9FDE-005C00A1009C}" done="0">
    <text xml:space="preserve">This name sounds familiar... but I can't find results on google... possibly change it?
</text>
  </threadedComment>
  <threadedComment ref="I122" personId="{C89A3332-DB0A-0A9D-0307-D86F48E186EA}" id="{007300C9-00C4-4BC9-8BCD-009600BD0081}" done="0">
    <text xml:space="preserve">Should this be a rare?
</text>
  </threadedComment>
  <threadedComment ref="B200" personId="{C89A3332-DB0A-0A9D-0307-D86F48E186EA}" id="{00500071-00D0-42E8-B79F-008C00B400A9}" done="0">
    <text xml:space="preserve">I don't like the word impressive here... what is a better word?
</text>
  </threadedComment>
  <threadedComment ref="B222" personId="{C89A3332-DB0A-0A9D-0307-D86F48E186EA}" id="{00A40045-0097-4508-B24B-00A2006B0079}" done="0">
    <text xml:space="preserve">This name probably needs to be reworked.
</text>
  </threadedComment>
  <threadedComment ref="I35" personId="{C89A3332-DB0A-0A9D-0307-D86F48E186EA}" id="{00C30031-00AB-4742-8405-008700A10038}" done="0">
    <text xml:space="preserve">Is two cards too strong? Is bleeding too strong? Is permanence too strong?
</text>
  </threadedComment>
  <threadedComment ref="C40" personId="{C89A3332-DB0A-0A9D-0307-D86F48E186EA}" id="{003600A5-00FB-4C8C-9FF6-003200C80069}" done="0">
    <text xml:space="preserve">Should this card be purple?
</text>
  </threadedComment>
  <threadedComment ref="I41" personId="{C89A3332-DB0A-0A9D-0307-D86F48E186EA}" id="{007B00E9-0076-4802-8472-0005003100B0}" done="0">
    <text xml:space="preserve">Is this card insane?
</text>
  </threadedComment>
  <threadedComment ref="I46" personId="{C89A3332-DB0A-0A9D-0307-D86F48E186EA}" id="{005A008D-00BB-4122-A91B-0076008B00E1}" done="0">
    <text xml:space="preserve">Too cheap?
</text>
  </threadedComment>
  <threadedComment ref="I92" personId="{C89A3332-DB0A-0A9D-0307-D86F48E186EA}" id="{00290061-008C-4DC0-94D8-005A0015005C}" done="0">
    <text xml:space="preserve">Too similar to maze mind tome?
</text>
  </threadedComment>
  <threadedComment ref="B94" personId="{C89A3332-DB0A-0A9D-0307-D86F48E186EA}" id="{003F0016-0001-428F-9F5E-005B00940054}" done="0">
    <text xml:space="preserve">Name a little too vauge! Probably need to add a quanitifier here.
</text>
  </threadedComment>
</ThreadedComments>
</file>

<file path=xl/worksheets/_rels/sheet1.xml.rels><?xml version="1.0" encoding="UTF-8" standalone="yes"?><Relationships xmlns="http://schemas.openxmlformats.org/package/2006/relationships"><Relationship  Id="rId5" Type="http://schemas.openxmlformats.org/officeDocument/2006/relationships/vmlDrawing" Target="../drawings/vmlDrawing1.vml"/><Relationship  Id="rId4" Type="http://schemas.openxmlformats.org/officeDocument/2006/relationships/comments" Target="../comments1.xml"/><Relationship  Id="rId3" Type="http://schemas.microsoft.com/office/2017/10/relationships/threadedComment" Target="../threadedComments/threadedComment1.xml"/><Relationship  Id="rId2" Type="http://schemas.openxmlformats.org/officeDocument/2006/relationships/hyperlink" Target="https://www.artstation.com/artwork/lxE2kY" TargetMode="External"/><Relationship  Id="rId1" Type="http://schemas.openxmlformats.org/officeDocument/2006/relationships/hyperlink" Target="https://www.pinterest.com/pin/628815166703064826/?nic_v2=1a2qvhYI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2" max="2" width="27.25"/>
    <col customWidth="1" min="4" max="4" width="13.630000000000001"/>
    <col customWidth="1" min="7" max="7" width="20.75"/>
    <col customWidth="1" min="8" max="8" width="9.75"/>
    <col customWidth="1" min="9" max="9" width="51"/>
    <col customWidth="1" min="10" max="10" width="20"/>
    <col customWidth="1" min="15" max="15" width="19.629999999999999"/>
    <col customWidth="1" min="22" max="22" width="19.129999999999999"/>
  </cols>
  <sheetData>
    <row r="1">
      <c r="A1" s="1" t="s">
        <v>0</v>
      </c>
      <c r="B1" s="1" t="s">
        <v>1</v>
      </c>
      <c r="C1" s="2" t="s">
        <v>2</v>
      </c>
      <c r="D1" s="1" t="s">
        <v>3</v>
      </c>
      <c r="E1" s="1" t="s">
        <v>4</v>
      </c>
      <c r="F1" s="1" t="s">
        <v>5</v>
      </c>
      <c r="G1" s="1" t="s">
        <v>6</v>
      </c>
      <c r="H1" s="3" t="s">
        <v>7</v>
      </c>
      <c r="I1" s="4" t="s">
        <v>8</v>
      </c>
      <c r="J1" s="4" t="s">
        <v>9</v>
      </c>
      <c r="K1" s="1" t="s">
        <v>10</v>
      </c>
      <c r="L1" s="1" t="s">
        <v>11</v>
      </c>
      <c r="M1" s="1" t="s">
        <v>12</v>
      </c>
      <c r="N1" s="1" t="s">
        <v>13</v>
      </c>
      <c r="O1" s="4" t="s">
        <v>14</v>
      </c>
      <c r="P1" s="1"/>
      <c r="Q1" s="1" t="s">
        <v>15</v>
      </c>
      <c r="R1" s="1" t="s">
        <v>16</v>
      </c>
      <c r="S1" s="1" t="s">
        <v>17</v>
      </c>
      <c r="T1" s="1" t="s">
        <v>18</v>
      </c>
      <c r="U1" s="1" t="s">
        <v>19</v>
      </c>
      <c r="V1" s="1" t="s">
        <v>20</v>
      </c>
      <c r="W1" s="1" t="s">
        <v>21</v>
      </c>
      <c r="X1" s="1" t="s">
        <v>22</v>
      </c>
    </row>
    <row r="2" ht="63.75">
      <c r="A2" s="1" t="s">
        <v>23</v>
      </c>
      <c r="B2" s="1" t="s">
        <v>24</v>
      </c>
      <c r="C2" s="2" t="s">
        <v>25</v>
      </c>
      <c r="D2" s="5" t="str">
        <f>IFERROR(__xludf.DUMMYFUNCTION("IF(EQ(A2,B2),"""",SWITCH(IF(T2="""",0,COUNTA(SPLIT(T2,"" ""))),0,""Generic"",1,TRIM(T2),2,""Multicolor"",3,""Multicolor"",4,""Multicolor"",5,""Multicolor"",6,""Multicolor"",7,""Multicolor"",8,""Multicolor""))"),"Generic")</f>
        <v>Generic</v>
      </c>
      <c r="E2" s="1"/>
      <c r="F2" s="1" t="s">
        <v>26</v>
      </c>
      <c r="G2" s="1" t="s">
        <v>27</v>
      </c>
      <c r="H2" s="2" t="s">
        <v>28</v>
      </c>
      <c r="I2" s="4" t="s">
        <v>29</v>
      </c>
      <c r="J2" s="4"/>
      <c r="K2" s="6"/>
      <c r="L2" s="6"/>
      <c r="O2" s="7"/>
      <c r="Q2" s="7">
        <v>60</v>
      </c>
      <c r="R2" s="7">
        <v>35</v>
      </c>
      <c r="S2" s="1" t="str">
        <f t="shared" ref="S2:S65" si="0">IF(ISBLANK(A2),"",if(EQ(len(trim(K2)), 0),"False","True"))</f>
        <v>False</v>
      </c>
      <c r="T2" s="6" t="str">
        <f>IFERROR(__xludf.DUMMYFUNCTION("CONCATENATE(if(REGEXMATCH(C2,""R""),"" Red"",""""),if(REGEXMATCH(C2,""O""),"" Orange"",""""),if(REGEXMATCH(C2,""Y""),"" Yellow"",""""),if(REGEXMATCH(C2,""G""),"" Green"",""""),if(REGEXMATCH(C2,""B""),"" Blue"",""""),if(REGEXMATCH(C2,""P""),"" Purple"","""&amp;"""))"),"")</f>
        <v/>
      </c>
      <c r="U2" s="6" t="str">
        <f>IFERROR(__xludf.DUMMYFUNCTION("TRIM(CONCAT(""[right]"", REGEXREPLACE(C2, ""([ROYGBPXZC_]|1?[0-9])"", ""[img=119]res://textures/icons/$0.png[/img]\\n"")))"),"[right]")</f>
        <v>[right]</v>
      </c>
      <c r="V2" s="1" t="str">
        <f>IFERROR(__xludf.DUMMYFUNCTION("SUBSTITUTE(SUBSTITUTE(SUBSTITUTE(SUBSTITUTE(REGEXREPLACE(SUBSTITUTE(SUBSTITUTE(SUBSTITUTE(SUBSTITUTE(REGEXREPLACE(I2, ""(\[([ROYGBPTQUXZC_]|1?[0-9])\])"", ""[img=45]res://textures/icons/$2.png[/img]""),""--"",""—""),""-&gt;"",""•""),""~@"", CONCATENATE(""[i]"&amp;""",REGEXEXTRACT(B2,""^([\s\S]*),|$""),""[/i]"")),""~"", CONCATENATE(""[i]"",B2,""[/i]"")),""(\([\s\S]*?\))"",""[i][color=#34343A]$0[/color][/i]""), ""&lt;"", ""[""), ""&gt;"", ""]""), ""[/p][p]"", ""[font_size=15]\n\n[/font_size]""), ""[br/]"", ""\n"")"),"[p][center][u]Transient[/u] [i][color=#34343A](If [i]Broken Bone[/i] would enter your discard, instead remove it from the game.)[/color][/i][/center][font_size=15]\n\n[/font_size]When you draw [i]Broken Bone[/i], reveal it, then choose a combatant you con"&amp;"trol to attach it to.[font_size=15]\n\n[/font_size]The attached asset has -1/-1.[/p]")</f>
        <v xml:space="preserve">[p][center][u]Transient[/u] [i][color=#34343A](If [i]Broken Bone[/i] would enter your discard, instead remove it from the game.)[/color][/i][/center][font_size=15]\n\n[/font_size]When you draw [i]Broken Bone[/i], reveal it, then choose a combatant you control to attach it to.[font_size=15]\n\n[/font_size]The attached asset has -1/-1.[/p]</v>
      </c>
      <c r="W2" s="6" t="str">
        <f t="shared" ref="W2:W65" si="1">CONCATENATE("[i]", F2, "[/i]")</f>
        <v>[i]Asset[/i]</v>
      </c>
      <c r="X2" s="1" t="str">
        <f t="shared" ref="X2:X65" si="2">IF(EQ(A2,B2), "0", CONCATENATE("RS_", A2))</f>
        <v>RS_0_001</v>
      </c>
      <c r="Y2" s="1"/>
      <c r="Z2" s="1"/>
      <c r="AA2" s="1"/>
    </row>
    <row r="3">
      <c r="A3" s="7" t="s">
        <v>30</v>
      </c>
      <c r="B3" s="7" t="str">
        <f>A3</f>
        <v>M_CMDR_RO_001</v>
      </c>
      <c r="C3" s="8"/>
      <c r="D3" s="9" t="str">
        <f>IFERROR(__xludf.DUMMYFUNCTION("IF(ISBLANK(A3),"""",SWITCH(IF(T3="""",0,COUNTA(SPLIT(T3,"" ""))),0,""Generic"",1,TRIM(T3),2,""Multicolor"",3,""Multicolor"",4,""Multicolor"",5,""Multicolor"",6,""Multicolor"",7,""Multicolor"",8,""Multicolor""))"),"Generic")</f>
        <v>Generic</v>
      </c>
      <c r="E3" s="1"/>
      <c r="F3" s="1"/>
      <c r="G3" s="7" t="s">
        <v>31</v>
      </c>
      <c r="H3" s="10" t="s">
        <v>31</v>
      </c>
      <c r="I3" s="11" t="s">
        <v>31</v>
      </c>
      <c r="J3" s="11" t="s">
        <v>31</v>
      </c>
      <c r="K3" s="6" t="e">
        <v>#VALUE!</v>
      </c>
      <c r="L3" s="6" t="e">
        <v>#VALUE!</v>
      </c>
      <c r="O3" s="7" t="s">
        <v>31</v>
      </c>
      <c r="Q3" s="7">
        <v>60</v>
      </c>
      <c r="R3" s="7">
        <v>50</v>
      </c>
      <c r="S3" s="1" t="str">
        <f t="shared" si="0"/>
        <v>#VALUE!</v>
      </c>
      <c r="T3" s="6" t="str">
        <f>IFERROR(__xludf.DUMMYFUNCTION("CONCATENATE(if(REGEXMATCH(C3,""R""),"" Red"",""""),if(REGEXMATCH(C3,""O""),"" Orange"",""""),if(REGEXMATCH(C3,""Y""),"" Yellow"",""""),if(REGEXMATCH(C3,""G""),"" Green"",""""),if(REGEXMATCH(C3,""B""),"" Blue"",""""),if(REGEXMATCH(C3,""P""),"" Purple"","""&amp;"""))"),"")</f>
        <v/>
      </c>
      <c r="U3" s="6" t="str">
        <f>IFERROR(__xludf.DUMMYFUNCTION("TRIM(CONCAT(""[right]"", REGEXREPLACE(C3, ""([ROYGBPXZC_]|1?[0-9])"", ""[img=119]res://textures/icons/$0.png[/img]\\n"")))"),"[right]")</f>
        <v>[right]</v>
      </c>
      <c r="V3" s="1" t="str">
        <f>IFERROR(__xludf.DUMMYFUNCTION("SUBSTITUTE(SUBSTITUTE(SUBSTITUTE(SUBSTITUTE(REGEXREPLACE(SUBSTITUTE(SUBSTITUTE(SUBSTITUTE(SUBSTITUTE(REGEXREPLACE(I3, ""(\[([ROYGBPTQUXZC_]|1?[0-9])\])"", ""[img=45]res://textures/icons/$2.png[/img]""),""--"",""—""),""-&gt;"",""•""),""~@"", CONCATENATE(""[i]"&amp;""",REGEXEXTRACT(B3,""^([\s\S]*),|$""),""[/i]"")),""~"", CONCATENATE(""[i]"",B3,""[/i]"")),""(\([\s\S]*?\))"",""[i][color=#34343A]$0[/color][/i]""), ""&lt;"", ""[""), ""&gt;"", ""]""), ""[/p][p]"", ""[font_size=15]\n\n[/font_size]""), ""[br/]"", ""\n"")"),"Doubt Slinger")</f>
        <v xml:space="preserve">Doubt Slinger</v>
      </c>
      <c r="W3" s="6" t="str">
        <f t="shared" si="1"/>
        <v>[i][/i]</v>
      </c>
      <c r="X3" s="1" t="str">
        <f t="shared" si="2"/>
        <v>0</v>
      </c>
      <c r="Y3" s="1"/>
      <c r="Z3" s="1"/>
      <c r="AA3" s="1"/>
    </row>
    <row r="4" ht="114.75">
      <c r="A4" s="7" t="s">
        <v>32</v>
      </c>
      <c r="B4" s="7" t="s">
        <v>33</v>
      </c>
      <c r="C4" s="12" t="s">
        <v>34</v>
      </c>
      <c r="D4" s="9" t="str">
        <f>IFERROR(__xludf.DUMMYFUNCTION("IF(ISBLANK(A4),"""",SWITCH(IF(T4="""",0,COUNTA(SPLIT(T4,"" ""))),0,""Generic"",1,TRIM(T4),2,""Multicolor"",3,""Multicolor"",4,""Multicolor"",5,""Multicolor"",6,""Multicolor"",7,""Multicolor"",8,""Multicolor""))"),"Multicolor")</f>
        <v>Multicolor</v>
      </c>
      <c r="E4" s="1"/>
      <c r="F4" s="1" t="s">
        <v>35</v>
      </c>
      <c r="G4" s="7" t="s">
        <v>36</v>
      </c>
      <c r="H4" s="10" t="s">
        <v>37</v>
      </c>
      <c r="I4" s="11" t="s">
        <v>38</v>
      </c>
      <c r="J4" s="11"/>
      <c r="K4" s="6" t="s">
        <v>39</v>
      </c>
      <c r="L4" s="6" t="s">
        <v>39</v>
      </c>
      <c r="O4" s="11"/>
      <c r="Q4" s="7">
        <v>45</v>
      </c>
      <c r="R4" s="7">
        <v>50</v>
      </c>
      <c r="S4" s="1" t="str">
        <f t="shared" si="0"/>
        <v>False</v>
      </c>
      <c r="T4" s="6" t="str">
        <f>IFERROR(__xludf.DUMMYFUNCTION("CONCATENATE(if(REGEXMATCH(C4,""R""),"" Red"",""""),if(REGEXMATCH(C4,""O""),"" Orange"",""""),if(REGEXMATCH(C4,""Y""),"" Yellow"",""""),if(REGEXMATCH(C4,""G""),"" Green"",""""),if(REGEXMATCH(C4,""B""),"" Blue"",""""),if(REGEXMATCH(C4,""P""),"" Purple"","""&amp;"""))")," Red Orange")</f>
        <v xml:space="preserve">Red Orange</v>
      </c>
      <c r="U4" s="6" t="str">
        <f>IFERROR(__xludf.DUMMYFUNCTION("TRIM(CONCAT(""[right]"", REGEXREPLACE(C4, ""([ROYGBPXZC_]|1?[0-9])"", ""[img=119]res://textures/icons/$0.png[/img]\\n"")))"),"[right][img=119]res://textures/icons/2.png[/img]\n[img=119]res://textures/icons/R.png[/img]\n[img=119]res://textures/icons/O.png[/img]\n")</f>
        <v>[right][img=119]res://textures/icons/2.png[/img]\n[img=119]res://textures/icons/R.png[/img]\n[img=119]res://textures/icons/O.png[/img]\n</v>
      </c>
      <c r="V4" s="1" t="str">
        <f>IFERROR(__xludf.DUMMYFUNCTION("SUBSTITUTE(SUBSTITUTE(SUBSTITUTE(SUBSTITUTE(REGEXREPLACE(SUBSTITUTE(SUBSTITUTE(SUBSTITUTE(SUBSTITUTE(REGEXREPLACE(I4, ""(\[([ROYGBPTQUXZC_]|1?[0-9])\])"", ""[img=45]res://textures/icons/$2.png[/img]""),""--"",""—""),""-&gt;"",""•""),""~@"", CONCATENATE(""[i]"&amp;""",REGEXEXTRACT(B4,""^([\s\S]*),|$""),""[/i]"")),""~"", CONCATENATE(""[i]"",B4,""[/i]"")),""(\([\s\S]*?\))"",""[i][color=#34343A]$0[/color][/i]""), ""&lt;"", ""[""), ""&gt;"", ""]""), ""[/p][p]"", ""[font_size=15]\n\n[/font_size]""), ""[br/]"", ""\n"")"),"[center][u]Decision[/u] [i][color=#34343A](You many only choose one of the bulleted options.)[/color][/i], [u]Retribution[/u][/center][p]Choose a player:[ul][i]Deformation Campaign[/i] — They may discard any number of cards in their hand. Shuffle X [i][co"&amp;"lor=#34343A](X is the number of cards in their hand)[/color][/i] [i]'Doubt'[/i]s into their deck.\n[i]Intimidation Campaign[/i] — For each tragedy card in their deck, shuffle another copy of that tragedy into their deck.[/ul][/p]")</f>
        <v xml:space="preserve">[center][u]Decision[/u] [i][color=#34343A](You many only choose one of the bulleted options.)[/color][/i], [u]Retribution[/u][/center][p]Choose a player:[ul][i]Deformation Campaign[/i] — They may discard any number of cards in their hand. Shuffle X [i][color=#34343A](X is the number of cards in their hand)[/color][/i] [i]'Doubt'[/i]s into their deck.\n[i]Intimidation Campaign[/i] — For each tragedy card in their deck, shuffle another copy of that tragedy into their deck.[/ul][/p]</v>
      </c>
      <c r="W4" s="6" t="str">
        <f t="shared" si="1"/>
        <v>[i]Effect[/i]</v>
      </c>
      <c r="X4" s="1" t="str">
        <f t="shared" si="2"/>
        <v>RS_MR_RO_001</v>
      </c>
      <c r="Y4" s="1"/>
    </row>
    <row r="5" ht="38.25">
      <c r="A5" s="7" t="s">
        <v>40</v>
      </c>
      <c r="B5" s="7" t="s">
        <v>41</v>
      </c>
      <c r="C5" s="12" t="s">
        <v>42</v>
      </c>
      <c r="D5" s="9" t="str">
        <f>IFERROR(__xludf.DUMMYFUNCTION("IF(ISBLANK(A5),"""",SWITCH(IF(T5="""",0,COUNTA(SPLIT(T5,"" ""))),0,""Generic"",1,TRIM(T5),2,""Multicolor"",3,""Multicolor"",4,""Multicolor"",5,""Multicolor"",6,""Multicolor"",7,""Multicolor"",8,""Multicolor""))"),"Orange")</f>
        <v>Orange</v>
      </c>
      <c r="E5" s="1" t="s">
        <v>43</v>
      </c>
      <c r="F5" s="1" t="s">
        <v>26</v>
      </c>
      <c r="G5" s="7" t="s">
        <v>44</v>
      </c>
      <c r="H5" s="10" t="s">
        <v>37</v>
      </c>
      <c r="I5" s="11" t="s">
        <v>45</v>
      </c>
      <c r="J5" s="11"/>
      <c r="K5" s="7">
        <v>4</v>
      </c>
      <c r="L5" s="7">
        <v>2</v>
      </c>
      <c r="O5" s="11"/>
      <c r="Q5" s="7">
        <v>60</v>
      </c>
      <c r="R5" s="7">
        <v>50</v>
      </c>
      <c r="S5" s="1" t="str">
        <f t="shared" si="0"/>
        <v>True</v>
      </c>
      <c r="T5" s="6" t="str">
        <f>IFERROR(__xludf.DUMMYFUNCTION("CONCATENATE(if(REGEXMATCH(C5,""R""),"" Red"",""""),if(REGEXMATCH(C5,""O""),"" Orange"",""""),if(REGEXMATCH(C5,""Y""),"" Yellow"",""""),if(REGEXMATCH(C5,""G""),"" Green"",""""),if(REGEXMATCH(C5,""B""),"" Blue"",""""),if(REGEXMATCH(C5,""P""),"" Purple"","""&amp;"""))")," Orange")</f>
        <v>Orange</v>
      </c>
      <c r="U5" s="6" t="str">
        <f>IFERROR(__xludf.DUMMYFUNCTION("TRIM(CONCAT(""[right]"", REGEXREPLACE(C5, ""([ROYGBPXZC_]|1?[0-9])"", ""[img=119]res://textures/icons/$0.png[/img]\\n"")))"),"[right][img=119]res://textures/icons/2.png[/img]\n[img=119]res://textures/icons/O.png[/img]\n")</f>
        <v>[right][img=119]res://textures/icons/2.png[/img]\n[img=119]res://textures/icons/O.png[/img]\n</v>
      </c>
      <c r="V5" s="1" t="str">
        <f>IFERROR(__xludf.DUMMYFUNCTION("SUBSTITUTE(SUBSTITUTE(SUBSTITUTE(SUBSTITUTE(REGEXREPLACE(SUBSTITUTE(SUBSTITUTE(SUBSTITUTE(SUBSTITUTE(REGEXREPLACE(I5, ""(\[([ROYGBPTQUXZC_]|1?[0-9])\])"", ""[img=45]res://textures/icons/$2.png[/img]""),""--"",""—""),""-&gt;"",""•""),""~@"", CONCATENATE(""[i]"&amp;""",REGEXEXTRACT(B5,""^([\s\S]*),|$""),""[/i]"")),""~"", CONCATENATE(""[i]"",B5,""[/i]"")),""(\([\s\S]*?\))"",""[i][color=#34343A]$0[/color][/i]""), ""&lt;"", ""[""), ""&gt;"", ""]""), ""[/p][p]"", ""[font_size=15]\n\n[/font_size]""), ""[br/]"", ""\n"")"),"[center]Whenever a Mobster you control deals damage to a player, create a [i]'Backstreet Thug'[/i] on the battlefield.[/center]")</f>
        <v xml:space="preserve">[center]Whenever a Mobster you control deals damage to a player, create a [i]'Backstreet Thug'[/i] on the battlefield.[/center]</v>
      </c>
      <c r="W5" s="6" t="str">
        <f t="shared" si="1"/>
        <v>[i]Asset[/i]</v>
      </c>
      <c r="X5" s="1" t="str">
        <f t="shared" si="2"/>
        <v>RS_OO_001</v>
      </c>
      <c r="Y5" s="1"/>
    </row>
    <row r="6" ht="51">
      <c r="A6" s="7" t="s">
        <v>46</v>
      </c>
      <c r="B6" s="7" t="s">
        <v>47</v>
      </c>
      <c r="C6" s="12" t="s">
        <v>48</v>
      </c>
      <c r="D6" s="9" t="str">
        <f>IFERROR(__xludf.DUMMYFUNCTION("IF(ISBLANK(A6),"""",SWITCH(IF(T6="""",0,COUNTA(SPLIT(T6,"" ""))),0,""Generic"",1,TRIM(T6),2,""Multicolor"",3,""Multicolor"",4,""Multicolor"",5,""Multicolor"",6,""Multicolor"",7,""Multicolor"",8,""Multicolor""))"),"Red")</f>
        <v>Red</v>
      </c>
      <c r="E6" s="1" t="s">
        <v>49</v>
      </c>
      <c r="F6" s="1" t="s">
        <v>26</v>
      </c>
      <c r="G6" s="7" t="s">
        <v>50</v>
      </c>
      <c r="H6" s="10" t="s">
        <v>28</v>
      </c>
      <c r="I6" s="13" t="s">
        <v>51</v>
      </c>
      <c r="J6" s="11"/>
      <c r="K6" s="7">
        <v>2</v>
      </c>
      <c r="L6" s="7">
        <v>2</v>
      </c>
      <c r="Q6" s="7">
        <v>60</v>
      </c>
      <c r="R6" s="7">
        <v>50</v>
      </c>
      <c r="S6" s="1" t="str">
        <f t="shared" si="0"/>
        <v>True</v>
      </c>
      <c r="T6" s="6" t="str">
        <f>IFERROR(__xludf.DUMMYFUNCTION("CONCATENATE(if(REGEXMATCH(C6,""R""),"" Red"",""""),if(REGEXMATCH(C6,""O""),"" Orange"",""""),if(REGEXMATCH(C6,""Y""),"" Yellow"",""""),if(REGEXMATCH(C6,""G""),"" Green"",""""),if(REGEXMATCH(C6,""B""),"" Blue"",""""),if(REGEXMATCH(C6,""P""),"" Purple"","""&amp;"""))")," Red")</f>
        <v>Red</v>
      </c>
      <c r="U6" s="6" t="str">
        <f>IFERROR(__xludf.DUMMYFUNCTION("TRIM(CONCAT(""[right]"", REGEXREPLACE(C6, ""([ROYGBPXZC_]|1?[0-9])"", ""[img=119]res://textures/icons/$0.png[/img]\\n"")))"),"[right][img=119]res://textures/icons/R.png[/img]\n")</f>
        <v>[right][img=119]res://textures/icons/R.png[/img]\n</v>
      </c>
      <c r="V6" s="1" t="str">
        <f>IFERROR(__xludf.DUMMYFUNCTION("SUBSTITUTE(SUBSTITUTE(SUBSTITUTE(SUBSTITUTE(REGEXREPLACE(SUBSTITUTE(SUBSTITUTE(SUBSTITUTE(SUBSTITUTE(REGEXREPLACE(I6, ""(\[([ROYGBPTQUXZC_]|1?[0-9])\])"", ""[img=45]res://textures/icons/$2.png[/img]""),""--"",""—""),""-&gt;"",""•""),""~@"", CONCATENATE(""[i]"&amp;""",REGEXEXTRACT(B6,""^([\s\S]*),|$""),""[/i]"")),""~"", CONCATENATE(""[i]"",B6,""[/i]"")),""(\([\s\S]*?\))"",""[i][color=#34343A]$0[/color][/i]""), ""&lt;"", ""[""), ""&gt;"", ""]""), ""[/p][p]"", ""[font_size=15]\n\n[/font_size]""), ""[br/]"", ""\n"")"),"[center][u]Transient[/u] [i][color=#34343A](It ceases to exist if it enters any player's discard.)[/color][/i][/center][p]Whenever [i]Backstreet Henchman[/i] is intercepted, shuffle a [i]'Broken Bone'[/i] into the interceptor's deck.[/p]")</f>
        <v xml:space="preserve">[center][u]Transient[/u] [i][color=#34343A](It ceases to exist if it enters any player's discard.)[/color][/i][/center][p]Whenever [i]Backstreet Henchman[/i] is intercepted, shuffle a [i]'Broken Bone'[/i] into the interceptor's deck.[/p]</v>
      </c>
      <c r="W6" s="6" t="str">
        <f t="shared" si="1"/>
        <v>[i]Asset[/i]</v>
      </c>
      <c r="X6" s="1" t="str">
        <f t="shared" si="2"/>
        <v>RS_OO_001b</v>
      </c>
      <c r="Y6" s="1"/>
    </row>
    <row r="7">
      <c r="A7" s="7" t="s">
        <v>48</v>
      </c>
      <c r="B7" s="6" t="str">
        <f t="shared" ref="B7:B8" si="3">A7</f>
        <v>R</v>
      </c>
      <c r="C7" s="8"/>
      <c r="D7" s="9" t="str">
        <f>IFERROR(__xludf.DUMMYFUNCTION("IF(ISBLANK(A7),"""",SWITCH(IF(T7="""",0,COUNTA(SPLIT(T7,"" ""))),0,""Generic"",1,TRIM(T7),2,""Multicolor"",3,""Multicolor"",4,""Multicolor"",5,""Multicolor"",6,""Multicolor"",7,""Multicolor"",8,""Multicolor""))"),"Generic")</f>
        <v>Generic</v>
      </c>
      <c r="E7" s="1"/>
      <c r="F7" s="1"/>
      <c r="H7" s="10"/>
      <c r="I7" s="11" t="s">
        <v>52</v>
      </c>
      <c r="J7" s="11"/>
      <c r="K7" s="6" t="s">
        <v>39</v>
      </c>
      <c r="L7" s="6" t="s">
        <v>39</v>
      </c>
      <c r="Q7" s="7">
        <v>60</v>
      </c>
      <c r="R7" s="7">
        <v>50</v>
      </c>
      <c r="S7" s="1" t="str">
        <f t="shared" si="0"/>
        <v>False</v>
      </c>
      <c r="T7" s="6" t="str">
        <f>IFERROR(__xludf.DUMMYFUNCTION("CONCATENATE(if(REGEXMATCH(C7,""R""),"" Red"",""""),if(REGEXMATCH(C7,""O""),"" Orange"",""""),if(REGEXMATCH(C7,""Y""),"" Yellow"",""""),if(REGEXMATCH(C7,""G""),"" Green"",""""),if(REGEXMATCH(C7,""B""),"" Blue"",""""),if(REGEXMATCH(C7,""P""),"" Purple"","""&amp;"""))"),"")</f>
        <v/>
      </c>
      <c r="U7" s="6" t="str">
        <f>IFERROR(__xludf.DUMMYFUNCTION("TRIM(CONCAT(""[right]"", REGEXREPLACE(C7, ""([ROYGBPXZC_]|1?[0-9])"", ""[img=119]res://textures/icons/$0.png[/img]\\n"")))"),"[right]")</f>
        <v>[right]</v>
      </c>
      <c r="V7" s="1" t="str">
        <f>IFERROR(__xludf.DUMMYFUNCTION("SUBSTITUTE(SUBSTITUTE(SUBSTITUTE(SUBSTITUTE(REGEXREPLACE(SUBSTITUTE(SUBSTITUTE(SUBSTITUTE(SUBSTITUTE(REGEXREPLACE(I7, ""(\[([ROYGBPTQUXZC_]|1?[0-9])\])"", ""[img=45]res://textures/icons/$2.png[/img]""),""--"",""—""),""-&gt;"",""•""),""~@"", CONCATENATE(""[i]"&amp;""",REGEXEXTRACT(B7,""^([\s\S]*),|$""),""[/i]"")),""~"", CONCATENATE(""[i]"",B7,""[/i]"")),""(\([\s\S]*?\))"",""[i][color=#34343A]$0[/color][/i]""), ""&lt;"", ""[""), ""&gt;"", ""]""), ""[/p][p]"", ""[font_size=15]\n\n[/font_size]""), ""[br/]"", ""\n"")"),"prepare, exchange, append, go second")</f>
        <v xml:space="preserve">prepare, exchange, append, go second</v>
      </c>
      <c r="W7" s="6" t="str">
        <f t="shared" si="1"/>
        <v>[i][/i]</v>
      </c>
      <c r="X7" s="1" t="str">
        <f t="shared" si="2"/>
        <v>0</v>
      </c>
      <c r="Y7" s="1"/>
    </row>
    <row r="8">
      <c r="A8" s="7" t="s">
        <v>48</v>
      </c>
      <c r="B8" s="6" t="str">
        <f t="shared" si="3"/>
        <v>R</v>
      </c>
      <c r="C8" s="8"/>
      <c r="D8" s="9" t="str">
        <f>IFERROR(__xludf.DUMMYFUNCTION("IF(ISBLANK(A8),"""",SWITCH(IF(T8="""",0,COUNTA(SPLIT(T8,"" ""))),0,""Generic"",1,TRIM(T8),2,""Multicolor"",3,""Multicolor"",4,""Multicolor"",5,""Multicolor"",6,""Multicolor"",7,""Multicolor"",8,""Multicolor""))"),"Generic")</f>
        <v>Generic</v>
      </c>
      <c r="E8" s="1"/>
      <c r="F8" s="1"/>
      <c r="H8" s="10"/>
      <c r="I8" s="11"/>
      <c r="J8" s="11"/>
      <c r="K8" s="6" t="s">
        <v>39</v>
      </c>
      <c r="L8" s="6" t="s">
        <v>39</v>
      </c>
      <c r="Q8" s="7">
        <v>60</v>
      </c>
      <c r="R8" s="7">
        <v>50</v>
      </c>
      <c r="S8" s="1" t="str">
        <f t="shared" si="0"/>
        <v>False</v>
      </c>
      <c r="T8" s="6" t="str">
        <f>IFERROR(__xludf.DUMMYFUNCTION("CONCATENATE(if(REGEXMATCH(C8,""R""),"" Red"",""""),if(REGEXMATCH(C8,""O""),"" Orange"",""""),if(REGEXMATCH(C8,""Y""),"" Yellow"",""""),if(REGEXMATCH(C8,""G""),"" Green"",""""),if(REGEXMATCH(C8,""B""),"" Blue"",""""),if(REGEXMATCH(C8,""P""),"" Purple"","""&amp;"""))"),"")</f>
        <v/>
      </c>
      <c r="U8" s="6" t="str">
        <f>IFERROR(__xludf.DUMMYFUNCTION("TRIM(CONCAT(""[right]"", REGEXREPLACE(C8, ""([ROYGBPXZC_]|1?[0-9])"", ""[img=119]res://textures/icons/$0.png[/img]\\n"")))"),"[right]")</f>
        <v>[right]</v>
      </c>
      <c r="V8" s="1" t="str">
        <f>IFERROR(__xludf.DUMMYFUNCTION("SUBSTITUTE(SUBSTITUTE(SUBSTITUTE(SUBSTITUTE(REGEXREPLACE(SUBSTITUTE(SUBSTITUTE(SUBSTITUTE(SUBSTITUTE(REGEXREPLACE(I8, ""(\[([ROYGBPTQUXZC_]|1?[0-9])\])"", ""[img=45]res://textures/icons/$2.png[/img]""),""--"",""—""),""-&gt;"",""•""),""~@"", CONCATENATE(""[i]"&amp;""",REGEXEXTRACT(B8,""^([\s\S]*),|$""),""[/i]"")),""~"", CONCATENATE(""[i]"",B8,""[/i]"")),""(\([\s\S]*?\))"",""[i][color=#34343A]$0[/color][/i]""), ""&lt;"", ""[""), ""&gt;"", ""]""), ""[/p][p]"", ""[font_size=15]\n\n[/font_size]""), ""[br/]"", ""\n"")"),"")</f>
        <v/>
      </c>
      <c r="W8" s="6" t="str">
        <f t="shared" si="1"/>
        <v>[i][/i]</v>
      </c>
      <c r="X8" s="1" t="str">
        <f t="shared" si="2"/>
        <v>0</v>
      </c>
      <c r="Y8" s="1"/>
    </row>
    <row r="9" ht="76.5">
      <c r="A9" s="7" t="s">
        <v>53</v>
      </c>
      <c r="B9" s="7" t="s">
        <v>54</v>
      </c>
      <c r="C9" s="12" t="s">
        <v>55</v>
      </c>
      <c r="D9" s="9" t="str">
        <f>IFERROR(__xludf.DUMMYFUNCTION("IF(ISBLANK(A9),"""",SWITCH(IF(T9="""",0,COUNTA(SPLIT(T9,"" ""))),0,""Generic"",1,TRIM(T9),2,""Multicolor"",3,""Multicolor"",4,""Multicolor"",5,""Multicolor"",6,""Multicolor"",7,""Multicolor"",8,""Multicolor""))"),"Multicolor")</f>
        <v>Multicolor</v>
      </c>
      <c r="E9" s="1" t="s">
        <v>49</v>
      </c>
      <c r="F9" s="1" t="s">
        <v>56</v>
      </c>
      <c r="G9" s="7" t="s">
        <v>57</v>
      </c>
      <c r="H9" s="10" t="s">
        <v>58</v>
      </c>
      <c r="I9" s="11" t="s">
        <v>59</v>
      </c>
      <c r="J9" s="11"/>
      <c r="K9" s="7">
        <v>5</v>
      </c>
      <c r="L9" s="7">
        <v>5</v>
      </c>
      <c r="Q9" s="7">
        <v>45</v>
      </c>
      <c r="R9" s="7">
        <v>50</v>
      </c>
      <c r="S9" s="1" t="str">
        <f t="shared" si="0"/>
        <v>True</v>
      </c>
      <c r="T9" s="6" t="str">
        <f>IFERROR(__xludf.DUMMYFUNCTION("CONCATENATE(if(REGEXMATCH(C9,""R""),"" Red"",""""),if(REGEXMATCH(C9,""O""),"" Orange"",""""),if(REGEXMATCH(C9,""Y""),"" Yellow"",""""),if(REGEXMATCH(C9,""G""),"" Green"",""""),if(REGEXMATCH(C9,""B""),"" Blue"",""""),if(REGEXMATCH(C9,""P""),"" Purple"","""&amp;"""))")," Red Orange")</f>
        <v xml:space="preserve">Red Orange</v>
      </c>
      <c r="U9" s="6" t="str">
        <f>IFERROR(__xludf.DUMMYFUNCTION("TRIM(CONCAT(""[right]"", REGEXREPLACE(C9, ""([ROYGBPXZC_]|1?[0-9])"", ""[img=119]res://textures/icons/$0.png[/img]\\n"")))"),"[right][img=119]res://textures/icons/1.png[/img]\n[img=119]res://textures/icons/R.png[/img]\n[img=119]res://textures/icons/O.png[/img]\n")</f>
        <v>[right][img=119]res://textures/icons/1.png[/img]\n[img=119]res://textures/icons/R.png[/img]\n[img=119]res://textures/icons/O.png[/img]\n</v>
      </c>
      <c r="V9" s="1" t="str">
        <f>IFERROR(__xludf.DUMMYFUNCTION("SUBSTITUTE(SUBSTITUTE(SUBSTITUTE(SUBSTITUTE(REGEXREPLACE(SUBSTITUTE(SUBSTITUTE(SUBSTITUTE(SUBSTITUTE(REGEXREPLACE(I9, ""(\[([ROYGBPTQUXZC_]|1?[0-9])\])"", ""[img=45]res://textures/icons/$2.png[/img]""),""--"",""—""),""-&gt;"",""•""),""~@"", CONCATENATE(""[i]"&amp;""",REGEXEXTRACT(B9,""^([\s\S]*),|$""),""[/i]"")),""~"", CONCATENATE(""[i]"",B9,""[/i]"")),""(\([\s\S]*?\))"",""[i][color=#34343A]$0[/color][/i]""), ""&lt;"", ""[""), ""&gt;"", ""]""), ""[/p][p]"", ""[font_size=15]\n\n[/font_size]""), ""[br/]"", ""\n"")"),"[center][i][color=#34343A](Becomes [i]'?'s Counter-Espionage'[/i] if you already control [i]?, Back Alley Double Agent[/i].)[/color][/i][/center][p][i]?[/i] enters the battlefield under the control of an opponent of your choice.[font_size=15]\n\n[/font_si"&amp;"ze]Any player may pay [i]?[/i]'s cost to gain control of it.[font_size=15]\n\n[/font_size]Whenever [i]?[/i] attacks, you draw a card and shuffle 2 [i]'Doubt'[/i]s into your deck.[/p]")</f>
        <v xml:space="preserve">[center][i][color=#34343A](Becomes [i]'?'s Counter-Espionage'[/i] if you already control [i]?, Back Alley Double Agent[/i].)[/color][/i][/center][p][i]?[/i] enters the battlefield under the control of an opponent of your choice.[font_size=15]\n\n[/font_size]Any player may pay [i]?[/i]'s cost to gain control of it.[font_size=15]\n\n[/font_size]Whenever [i]?[/i] attacks, you draw a card and shuffle 2 [i]'Doubt'[/i]s into your deck.[/p]</v>
      </c>
      <c r="W9" s="6" t="str">
        <f t="shared" si="1"/>
        <v xml:space="preserve">[i]R. Asset[/i]</v>
      </c>
      <c r="X9" s="1" t="str">
        <f t="shared" si="2"/>
        <v>RS_MU_RO_001</v>
      </c>
      <c r="Y9" s="1"/>
    </row>
    <row r="10" ht="114.75">
      <c r="A10" s="14" t="s">
        <v>60</v>
      </c>
      <c r="B10" s="7" t="s">
        <v>61</v>
      </c>
      <c r="C10" s="12" t="s">
        <v>62</v>
      </c>
      <c r="D10" s="9" t="str">
        <f>IFERROR(__xludf.DUMMYFUNCTION("IF(ISBLANK(A10),"""",SWITCH(IF(T10="""",0,COUNTA(SPLIT(T10,"" ""))),0,""Generic"",1,TRIM(T10),2,""Multicolor"",3,""Multicolor"",4,""Multicolor"",5,""Multicolor"",6,""Multicolor"",7,""Multicolor"",8,""Multicolor""))"),"Multicolor")</f>
        <v>Multicolor</v>
      </c>
      <c r="E10" s="1"/>
      <c r="F10" s="1" t="s">
        <v>63</v>
      </c>
      <c r="G10" s="7" t="s">
        <v>64</v>
      </c>
      <c r="H10" s="10" t="s">
        <v>28</v>
      </c>
      <c r="I10" s="13" t="s">
        <v>65</v>
      </c>
      <c r="J10" s="11"/>
      <c r="Q10" s="7">
        <v>45</v>
      </c>
      <c r="R10" s="7">
        <v>50</v>
      </c>
      <c r="S10" s="1" t="str">
        <f t="shared" si="0"/>
        <v>False</v>
      </c>
      <c r="T10" s="7" t="s">
        <v>66</v>
      </c>
      <c r="U10" s="6" t="str">
        <f>IFERROR(__xludf.DUMMYFUNCTION("TRIM(CONCAT(""[right]"", REGEXREPLACE(C10, ""([ROYGBPXZC_]|1?[0-9])"", ""[img=119]res://textures/icons/$0.png[/img]\\n"")))"),"[right][img=119]res://textures/icons/_.png[/img]\n[img=119]res://textures/icons/_.png[/img]\n")</f>
        <v>[right][img=119]res://textures/icons/_.png[/img]\n[img=119]res://textures/icons/_.png[/img]\n</v>
      </c>
      <c r="V10" s="1" t="str">
        <f>IFERROR(__xludf.DUMMYFUNCTION("SUBSTITUTE(SUBSTITUTE(SUBSTITUTE(SUBSTITUTE(REGEXREPLACE(SUBSTITUTE(SUBSTITUTE(SUBSTITUTE(SUBSTITUTE(REGEXREPLACE(I10, ""(\[([ROYGBPTQUXZC_]|1?[0-9])\])"", ""[img=45]res://textures/icons/$2.png[/img]""),""--"",""—""),""-&gt;"",""•""),""~@"", CONCATENATE(""[i"&amp;"]"",REGEXEXTRACT(B10,""^([\s\S]*),|$""),""[/i]"")),""~"", CONCATENATE(""[i]"",B10,""[/i]"")),""(\([\s\S]*?\))"",""[i][color=#34343A]$0[/color][/i]""), ""&lt;"", ""[""), ""&gt;"", ""]""), ""[/p][p]"", ""[font_size=15]\n\n[/font_size]""), ""[br/]"", ""\n"")"),"[center][i][color=#34343A](This effect can only be deployed if you control a renowned asset. Banked energy can't be spent to deploy renowned cards. [img=45]res://textures/icons/_.png[/img] can be paid with [img=45]res://textures/icons/R.png[/img] or [img="&amp;"45]res://textures/icons/O.png[/img].)[/color][/i]\n[u]Rumor 3[/u] [i][color=#34343A](The owner of [i]?'s Counter-Espionage[/i]'s target shuffles 3 [i]'Doubt'[/i]s into their deck.)[/color][/i][/center][p]Choose 2 players; shuffle all tragedy cards in the "&amp;"first player's deck into the second player's deck.[font_size=15]\n\n[/font_size][u]Personal[/u] [i][color=#34343A](Shuffle [i]'?, Back Alley Double Agent'[/i] into your deck.)[/color][/i][/p]")</f>
        <v xml:space="preserve">[center][i][color=#34343A](This effect can only be deployed if you control a renowned asset. Banked energy can't be spent to deploy renowned cards. [img=45]res://textures/icons/_.png[/img] can be paid with [img=45]res://textures/icons/R.png[/img] or [img=45]res://textures/icons/O.png[/img].)[/color][/i]\n[u]Rumor 3[/u] [i][color=#34343A](The owner of [i]?'s Counter-Espionage[/i]'s target shuffles 3 [i]'Doubt'[/i]s into their deck.)[/color][/i][/center][p]Choose 2 players; shuffle all tragedy cards in the first player's deck into the second player's deck.[font_size=15]\n\n[/font_size][u]Personal[/u] [i][color=#34343A](Shuffle [i]'?, Back Alley Double Agent'[/i] into your deck.)[/color][/i][/p]</v>
      </c>
      <c r="W10" s="6" t="str">
        <f t="shared" si="1"/>
        <v xml:space="preserve">[i]R. Effect[/i]</v>
      </c>
      <c r="X10" s="1" t="str">
        <f t="shared" si="2"/>
        <v>RS_MU_RO_001b</v>
      </c>
      <c r="Y10" s="1"/>
    </row>
    <row r="11" ht="51">
      <c r="A11" s="7" t="s">
        <v>67</v>
      </c>
      <c r="B11" s="7" t="s">
        <v>68</v>
      </c>
      <c r="C11" s="15" t="s">
        <v>69</v>
      </c>
      <c r="D11" s="9" t="str">
        <f>IFERROR(__xludf.DUMMYFUNCTION("IF(ISBLANK(A11),"""",SWITCH(IF(T11="""",0,COUNTA(SPLIT(T11,"" ""))),0,""Generic"",1,TRIM(T11),2,""Multicolor"",3,""Multicolor"",4,""Multicolor"",5,""Multicolor"",6,""Multicolor"",7,""Multicolor"",8,""Multicolor""))"),"Red")</f>
        <v>Red</v>
      </c>
      <c r="E11" s="1"/>
      <c r="F11" s="1" t="s">
        <v>35</v>
      </c>
      <c r="G11" s="7" t="s">
        <v>64</v>
      </c>
      <c r="H11" s="10" t="s">
        <v>70</v>
      </c>
      <c r="I11" s="13" t="s">
        <v>71</v>
      </c>
      <c r="J11" s="11"/>
      <c r="K11" s="6" t="s">
        <v>39</v>
      </c>
      <c r="L11" s="6" t="s">
        <v>39</v>
      </c>
      <c r="Q11" s="7">
        <v>50</v>
      </c>
      <c r="R11" s="7">
        <v>50</v>
      </c>
      <c r="S11" s="1" t="str">
        <f t="shared" si="0"/>
        <v>False</v>
      </c>
      <c r="T11" s="6" t="str">
        <f>IFERROR(__xludf.DUMMYFUNCTION("CONCATENATE(if(REGEXMATCH(C11,""R""),"" Red"",""""),if(REGEXMATCH(C11,""O""),"" Orange"",""""),if(REGEXMATCH(C11,""Y""),"" Yellow"",""""),if(REGEXMATCH(C11,""G""),"" Green"",""""),if(REGEXMATCH(C11,""B""),"" Blue"",""""),if(REGEXMATCH(C11,""P""),"" Purple"&amp;""",""""))")," Red")</f>
        <v>Red</v>
      </c>
      <c r="U11" s="6" t="str">
        <f>IFERROR(__xludf.DUMMYFUNCTION("TRIM(CONCAT(""[right]"", REGEXREPLACE(C11, ""([ROYGBPXZC_]|1?[0-9])"", ""[img=119]res://textures/icons/$0.png[/img]\\n"")))"),"[right][img=119]res://textures/icons/3.png[/img]\n[img=119]res://textures/icons/R.png[/img]\n[img=119]res://textures/icons/R.png[/img]\n")</f>
        <v>[right][img=119]res://textures/icons/3.png[/img]\n[img=119]res://textures/icons/R.png[/img]\n[img=119]res://textures/icons/R.png[/img]\n</v>
      </c>
      <c r="V11" s="1" t="str">
        <f>IFERROR(__xludf.DUMMYFUNCTION("SUBSTITUTE(SUBSTITUTE(SUBSTITUTE(SUBSTITUTE(REGEXREPLACE(SUBSTITUTE(SUBSTITUTE(SUBSTITUTE(SUBSTITUTE(REGEXREPLACE(I11, ""(\[([ROYGBPTQUXZC_]|1?[0-9])\])"", ""[img=45]res://textures/icons/$2.png[/img]""),""--"",""—""),""-&gt;"",""•""),""~@"", CONCATENATE(""[i"&amp;"]"",REGEXEXTRACT(B11,""^([\s\S]*),|$""),""[/i]"")),""~"", CONCATENATE(""[i]"",B11,""[/i]"")),""(\([\s\S]*?\))"",""[i][color=#34343A]$0[/color][/i]""), ""&lt;"", ""[""), ""&gt;"", ""]""), ""[/p][p]"", ""[font_size=15]\n\n[/font_size]""), ""[br/]"", ""\n"")"),"[center][u]Warrant[/u] [i][color=#34343A](When you deploy [i]Back Alley Beatdown[/i], shuffle an 'Incarceration' into your deck.)[/color][/i][/center][p]Chose an asset; until end of turn, gain control of it.[font_size=15]\n\n[/font_size]That asset's owner"&amp;" shuffles 2 [i]'Broken Bone'[/i]s into their deck.[/p]")</f>
        <v xml:space="preserve">[center][u]Warrant[/u] [i][color=#34343A](When you deploy [i]Back Alley Beatdown[/i], shuffle an 'Incarceration' into your deck.)[/color][/i][/center][p]Chose an asset; until end of turn, gain control of it.[font_size=15]\n\n[/font_size]That asset's owner shuffles 2 [i]'Broken Bone'[/i]s into their deck.[/p]</v>
      </c>
      <c r="W11" s="6" t="str">
        <f t="shared" si="1"/>
        <v>[i]Effect[/i]</v>
      </c>
      <c r="X11" s="1" t="str">
        <f t="shared" si="2"/>
        <v>RS_RU_004</v>
      </c>
      <c r="Y11" s="1"/>
    </row>
    <row r="12" ht="51">
      <c r="A12" s="7" t="s">
        <v>72</v>
      </c>
      <c r="B12" s="7" t="s">
        <v>73</v>
      </c>
      <c r="C12" s="12" t="s">
        <v>48</v>
      </c>
      <c r="D12" s="9" t="str">
        <f>IFERROR(__xludf.DUMMYFUNCTION("IF(ISBLANK(A12),"""",SWITCH(IF(T12="""",0,COUNTA(SPLIT(T12,"" ""))),0,""Generic"",1,TRIM(T12),2,""Multicolor"",3,""Multicolor"",4,""Multicolor"",5,""Multicolor"",6,""Multicolor"",7,""Multicolor"",8,""Multicolor""))"),"Red")</f>
        <v>Red</v>
      </c>
      <c r="E12" s="1"/>
      <c r="F12" s="1" t="s">
        <v>35</v>
      </c>
      <c r="H12" s="10" t="s">
        <v>58</v>
      </c>
      <c r="I12" s="11" t="s">
        <v>74</v>
      </c>
      <c r="J12" s="11"/>
      <c r="K12" s="6" t="s">
        <v>39</v>
      </c>
      <c r="L12" s="6" t="s">
        <v>39</v>
      </c>
      <c r="Q12" s="7">
        <v>60</v>
      </c>
      <c r="R12" s="7">
        <v>50</v>
      </c>
      <c r="S12" s="1" t="str">
        <f t="shared" si="0"/>
        <v>False</v>
      </c>
      <c r="T12" s="6" t="str">
        <f>IFERROR(__xludf.DUMMYFUNCTION("CONCATENATE(if(REGEXMATCH(C12,""R""),"" Red"",""""),if(REGEXMATCH(C12,""O""),"" Orange"",""""),if(REGEXMATCH(C12,""Y""),"" Yellow"",""""),if(REGEXMATCH(C12,""G""),"" Green"",""""),if(REGEXMATCH(C12,""B""),"" Blue"",""""),if(REGEXMATCH(C12,""P""),"" Purple"&amp;""",""""))")," Red")</f>
        <v>Red</v>
      </c>
      <c r="U12" s="6" t="str">
        <f>IFERROR(__xludf.DUMMYFUNCTION("TRIM(CONCAT(""[right]"", REGEXREPLACE(C12, ""([ROYGBPXZC_]|1?[0-9])"", ""[img=119]res://textures/icons/$0.png[/img]\\n"")))"),"[right][img=119]res://textures/icons/R.png[/img]\n")</f>
        <v>[right][img=119]res://textures/icons/R.png[/img]\n</v>
      </c>
      <c r="V12" s="1" t="str">
        <f>IFERROR(__xludf.DUMMYFUNCTION("SUBSTITUTE(SUBSTITUTE(SUBSTITUTE(SUBSTITUTE(REGEXREPLACE(SUBSTITUTE(SUBSTITUTE(SUBSTITUTE(SUBSTITUTE(REGEXREPLACE(I12, ""(\[([ROYGBPTQUXZC_]|1?[0-9])\])"", ""[img=45]res://textures/icons/$2.png[/img]""),""--"",""—""),""-&gt;"",""•""),""~@"", CONCATENATE(""[i"&amp;"]"",REGEXEXTRACT(B12,""^([\s\S]*),|$""),""[/i]"")),""~"", CONCATENATE(""[i]"",B12,""[/i]"")),""(\([\s\S]*?\))"",""[i][color=#34343A]$0[/color][/i]""), ""&lt;"", ""[""), ""&gt;"", ""]""), ""[/p][p]"", ""[font_size=15]\n\n[/font_size]""), ""[br/]"", ""\n"")"),"Choose an opponent, then choose one:[ul]That opponent discards the card in their hand with lowest generalized cost.\nThat opponent discards the card in their hand with highest generalized cost.[/ul]")</f>
        <v xml:space="preserve">Choose an opponent, then choose one:[ul]That opponent discards the card in their hand with lowest generalized cost.\nThat opponent discards the card in their hand with highest generalized cost.[/ul]</v>
      </c>
      <c r="W12" s="6" t="str">
        <f t="shared" si="1"/>
        <v>[i]Effect[/i]</v>
      </c>
      <c r="X12" s="1" t="str">
        <f t="shared" si="2"/>
        <v>RS_RU_005</v>
      </c>
      <c r="Y12" s="1"/>
    </row>
    <row r="13">
      <c r="A13" s="7" t="s">
        <v>75</v>
      </c>
      <c r="B13" s="6" t="str">
        <f t="shared" ref="B13:B76" si="4">A13</f>
        <v>U</v>
      </c>
      <c r="C13" s="8"/>
      <c r="D13" s="9" t="str">
        <f>IFERROR(__xludf.DUMMYFUNCTION("IF(ISBLANK(A13),"""",SWITCH(IF(T13="""",0,COUNTA(SPLIT(T13,"" ""))),0,""Generic"",1,TRIM(T13),2,""Multicolor"",3,""Multicolor"",4,""Multicolor"",5,""Multicolor"",6,""Multicolor"",7,""Multicolor"",8,""Multicolor""))"),"Generic")</f>
        <v>Generic</v>
      </c>
      <c r="E13" s="1"/>
      <c r="F13" s="1"/>
      <c r="H13" s="10"/>
      <c r="I13" s="11"/>
      <c r="J13" s="11"/>
      <c r="K13" s="6" t="s">
        <v>39</v>
      </c>
      <c r="L13" s="6" t="s">
        <v>39</v>
      </c>
      <c r="Q13" s="7">
        <v>60</v>
      </c>
      <c r="R13" s="7">
        <v>50</v>
      </c>
      <c r="S13" s="1" t="str">
        <f t="shared" si="0"/>
        <v>False</v>
      </c>
      <c r="T13" s="6" t="str">
        <f>IFERROR(__xludf.DUMMYFUNCTION("CONCATENATE(if(REGEXMATCH(C13,""R""),"" Red"",""""),if(REGEXMATCH(C13,""O""),"" Orange"",""""),if(REGEXMATCH(C13,""Y""),"" Yellow"",""""),if(REGEXMATCH(C13,""G""),"" Green"",""""),if(REGEXMATCH(C13,""B""),"" Blue"",""""),if(REGEXMATCH(C13,""P""),"" Purple"&amp;""",""""))"),"")</f>
        <v/>
      </c>
      <c r="U13" s="6" t="str">
        <f>IFERROR(__xludf.DUMMYFUNCTION("TRIM(CONCAT(""[right]"", REGEXREPLACE(C13, ""([ROYGBPXZC_]|1?[0-9])"", ""[img=119]res://textures/icons/$0.png[/img]\\n"")))"),"[right]")</f>
        <v>[right]</v>
      </c>
      <c r="V13" s="1" t="str">
        <f>IFERROR(__xludf.DUMMYFUNCTION("SUBSTITUTE(SUBSTITUTE(SUBSTITUTE(SUBSTITUTE(REGEXREPLACE(SUBSTITUTE(SUBSTITUTE(SUBSTITUTE(SUBSTITUTE(REGEXREPLACE(I13, ""(\[([ROYGBPTQUXZC_]|1?[0-9])\])"", ""[img=45]res://textures/icons/$2.png[/img]""),""--"",""—""),""-&gt;"",""•""),""~@"", CONCATENATE(""[i"&amp;"]"",REGEXEXTRACT(B13,""^([\s\S]*),|$""),""[/i]"")),""~"", CONCATENATE(""[i]"",B13,""[/i]"")),""(\([\s\S]*?\))"",""[i][color=#34343A]$0[/color][/i]""), ""&lt;"", ""[""), ""&gt;"", ""]""), ""[/p][p]"", ""[font_size=15]\n\n[/font_size]""), ""[br/]"", ""\n"")"),"")</f>
        <v/>
      </c>
      <c r="W13" s="6" t="str">
        <f t="shared" si="1"/>
        <v>[i][/i]</v>
      </c>
      <c r="X13" s="1" t="str">
        <f t="shared" si="2"/>
        <v>0</v>
      </c>
      <c r="Y13" s="1"/>
    </row>
    <row r="14">
      <c r="A14" s="7" t="s">
        <v>75</v>
      </c>
      <c r="B14" s="6" t="str">
        <f t="shared" si="4"/>
        <v>U</v>
      </c>
      <c r="C14" s="8"/>
      <c r="D14" s="9" t="str">
        <f>IFERROR(__xludf.DUMMYFUNCTION("IF(ISBLANK(A14),"""",SWITCH(IF(T14="""",0,COUNTA(SPLIT(T14,"" ""))),0,""Generic"",1,TRIM(T14),2,""Multicolor"",3,""Multicolor"",4,""Multicolor"",5,""Multicolor"",6,""Multicolor"",7,""Multicolor"",8,""Multicolor""))"),"Generic")</f>
        <v>Generic</v>
      </c>
      <c r="E14" s="1"/>
      <c r="F14" s="1"/>
      <c r="H14" s="10"/>
      <c r="I14" s="11"/>
      <c r="J14" s="11"/>
      <c r="K14" s="6" t="s">
        <v>39</v>
      </c>
      <c r="L14" s="6" t="s">
        <v>39</v>
      </c>
      <c r="Q14" s="7">
        <v>60</v>
      </c>
      <c r="R14" s="7">
        <v>50</v>
      </c>
      <c r="S14" s="1" t="str">
        <f t="shared" si="0"/>
        <v>False</v>
      </c>
      <c r="T14" s="6" t="str">
        <f>IFERROR(__xludf.DUMMYFUNCTION("CONCATENATE(if(REGEXMATCH(C14,""R""),"" Red"",""""),if(REGEXMATCH(C14,""O""),"" Orange"",""""),if(REGEXMATCH(C14,""Y""),"" Yellow"",""""),if(REGEXMATCH(C14,""G""),"" Green"",""""),if(REGEXMATCH(C14,""B""),"" Blue"",""""),if(REGEXMATCH(C14,""P""),"" Purple"&amp;""",""""))"),"")</f>
        <v/>
      </c>
      <c r="U14" s="6" t="str">
        <f>IFERROR(__xludf.DUMMYFUNCTION("TRIM(CONCAT(""[right]"", REGEXREPLACE(C14, ""([ROYGBPXZC_]|1?[0-9])"", ""[img=119]res://textures/icons/$0.png[/img]\\n"")))"),"[right]")</f>
        <v>[right]</v>
      </c>
      <c r="V14" s="1" t="str">
        <f>IFERROR(__xludf.DUMMYFUNCTION("SUBSTITUTE(SUBSTITUTE(SUBSTITUTE(SUBSTITUTE(REGEXREPLACE(SUBSTITUTE(SUBSTITUTE(SUBSTITUTE(SUBSTITUTE(REGEXREPLACE(I14, ""(\[([ROYGBPTQUXZC_]|1?[0-9])\])"", ""[img=45]res://textures/icons/$2.png[/img]""),""--"",""—""),""-&gt;"",""•""),""~@"", CONCATENATE(""[i"&amp;"]"",REGEXEXTRACT(B14,""^([\s\S]*),|$""),""[/i]"")),""~"", CONCATENATE(""[i]"",B14,""[/i]"")),""(\([\s\S]*?\))"",""[i][color=#34343A]$0[/color][/i]""), ""&lt;"", ""[""), ""&gt;"", ""]""), ""[/p][p]"", ""[font_size=15]\n\n[/font_size]""), ""[br/]"", ""\n"")"),"")</f>
        <v/>
      </c>
      <c r="W14" s="6" t="str">
        <f t="shared" si="1"/>
        <v>[i][/i]</v>
      </c>
      <c r="X14" s="1" t="str">
        <f t="shared" si="2"/>
        <v>0</v>
      </c>
      <c r="Y14" s="1"/>
    </row>
    <row r="15">
      <c r="A15" s="7" t="s">
        <v>75</v>
      </c>
      <c r="B15" s="6" t="str">
        <f t="shared" si="4"/>
        <v>U</v>
      </c>
      <c r="C15" s="8"/>
      <c r="D15" s="9" t="str">
        <f>IFERROR(__xludf.DUMMYFUNCTION("IF(ISBLANK(A15),"""",SWITCH(IF(T15="""",0,COUNTA(SPLIT(T15,"" ""))),0,""Generic"",1,TRIM(T15),2,""Multicolor"",3,""Multicolor"",4,""Multicolor"",5,""Multicolor"",6,""Multicolor"",7,""Multicolor"",8,""Multicolor""))"),"Generic")</f>
        <v>Generic</v>
      </c>
      <c r="E15" s="1"/>
      <c r="F15" s="1"/>
      <c r="H15" s="10"/>
      <c r="I15" s="11"/>
      <c r="J15" s="11"/>
      <c r="K15" s="6" t="s">
        <v>39</v>
      </c>
      <c r="L15" s="6" t="s">
        <v>39</v>
      </c>
      <c r="Q15" s="7">
        <v>60</v>
      </c>
      <c r="R15" s="7">
        <v>50</v>
      </c>
      <c r="S15" s="1" t="str">
        <f t="shared" si="0"/>
        <v>False</v>
      </c>
      <c r="T15" s="6" t="str">
        <f>IFERROR(__xludf.DUMMYFUNCTION("CONCATENATE(if(REGEXMATCH(C15,""R""),"" Red"",""""),if(REGEXMATCH(C15,""O""),"" Orange"",""""),if(REGEXMATCH(C15,""Y""),"" Yellow"",""""),if(REGEXMATCH(C15,""G""),"" Green"",""""),if(REGEXMATCH(C15,""B""),"" Blue"",""""),if(REGEXMATCH(C15,""P""),"" Purple"&amp;""",""""))"),"")</f>
        <v/>
      </c>
      <c r="U15" s="6" t="str">
        <f>IFERROR(__xludf.DUMMYFUNCTION("TRIM(CONCAT(""[right]"", REGEXREPLACE(C15, ""([ROYGBPXZC_]|1?[0-9])"", ""[img=119]res://textures/icons/$0.png[/img]\\n"")))"),"[right]")</f>
        <v>[right]</v>
      </c>
      <c r="V15" s="1" t="str">
        <f>IFERROR(__xludf.DUMMYFUNCTION("SUBSTITUTE(SUBSTITUTE(SUBSTITUTE(SUBSTITUTE(REGEXREPLACE(SUBSTITUTE(SUBSTITUTE(SUBSTITUTE(SUBSTITUTE(REGEXREPLACE(I15, ""(\[([ROYGBPTQUXZC_]|1?[0-9])\])"", ""[img=45]res://textures/icons/$2.png[/img]""),""--"",""—""),""-&gt;"",""•""),""~@"", CONCATENATE(""[i"&amp;"]"",REGEXEXTRACT(B15,""^([\s\S]*),|$""),""[/i]"")),""~"", CONCATENATE(""[i]"",B15,""[/i]"")),""(\([\s\S]*?\))"",""[i][color=#34343A]$0[/color][/i]""), ""&lt;"", ""[""), ""&gt;"", ""]""), ""[/p][p]"", ""[font_size=15]\n\n[/font_size]""), ""[br/]"", ""\n"")"),"")</f>
        <v/>
      </c>
      <c r="W15" s="6" t="str">
        <f t="shared" si="1"/>
        <v>[i][/i]</v>
      </c>
      <c r="X15" s="1" t="str">
        <f t="shared" si="2"/>
        <v>0</v>
      </c>
      <c r="Y15" s="1"/>
    </row>
    <row r="16">
      <c r="A16" s="7" t="s">
        <v>76</v>
      </c>
      <c r="B16" s="7" t="s">
        <v>76</v>
      </c>
      <c r="C16" s="12"/>
      <c r="D16" s="9" t="str">
        <f>IFERROR(__xludf.DUMMYFUNCTION("IF(ISBLANK(A16),"""",SWITCH(IF(T16="""",0,COUNTA(SPLIT(T16,"" ""))),0,""Generic"",1,TRIM(T16),2,""Multicolor"",3,""Multicolor"",4,""Multicolor"",5,""Multicolor"",6,""Multicolor"",7,""Multicolor"",8,""Multicolor""))"),"Generic")</f>
        <v>Generic</v>
      </c>
      <c r="E16" s="1"/>
      <c r="F16" s="1"/>
      <c r="H16" s="10"/>
      <c r="I16" s="11"/>
      <c r="J16" s="11"/>
      <c r="K16" s="6" t="s">
        <v>39</v>
      </c>
      <c r="L16" s="6" t="s">
        <v>39</v>
      </c>
      <c r="Q16" s="7">
        <v>60</v>
      </c>
      <c r="R16" s="7">
        <v>50</v>
      </c>
      <c r="S16" s="1" t="str">
        <f t="shared" si="0"/>
        <v>False</v>
      </c>
      <c r="T16" s="6" t="str">
        <f>IFERROR(__xludf.DUMMYFUNCTION("CONCATENATE(if(REGEXMATCH(C16,""R""),"" Red"",""""),if(REGEXMATCH(C16,""O""),"" Orange"",""""),if(REGEXMATCH(C16,""Y""),"" Yellow"",""""),if(REGEXMATCH(C16,""G""),"" Green"",""""),if(REGEXMATCH(C16,""B""),"" Blue"",""""),if(REGEXMATCH(C16,""P""),"" Purple"&amp;""",""""))"),"")</f>
        <v/>
      </c>
      <c r="U16" s="6" t="str">
        <f>IFERROR(__xludf.DUMMYFUNCTION("TRIM(CONCAT(""[right]"", REGEXREPLACE(C16, ""([ROYGBPXZC_]|1?[0-9])"", ""[img=119]res://textures/icons/$0.png[/img]\\n"")))"),"[right]")</f>
        <v>[right]</v>
      </c>
      <c r="V16" s="1" t="str">
        <f>IFERROR(__xludf.DUMMYFUNCTION("SUBSTITUTE(SUBSTITUTE(SUBSTITUTE(SUBSTITUTE(REGEXREPLACE(SUBSTITUTE(SUBSTITUTE(SUBSTITUTE(SUBSTITUTE(REGEXREPLACE(I16, ""(\[([ROYGBPTQUXZC_]|1?[0-9])\])"", ""[img=45]res://textures/icons/$2.png[/img]""),""--"",""—""),""-&gt;"",""•""),""~@"", CONCATENATE(""[i"&amp;"]"",REGEXEXTRACT(B16,""^([\s\S]*),|$""),""[/i]"")),""~"", CONCATENATE(""[i]"",B16,""[/i]"")),""(\([\s\S]*?\))"",""[i][color=#34343A]$0[/color][/i]""), ""&lt;"", ""[""), ""&gt;"", ""]""), ""[/p][p]"", ""[font_size=15]\n\n[/font_size]""), ""[br/]"", ""\n"")"),"")</f>
        <v/>
      </c>
      <c r="W16" s="6" t="str">
        <f t="shared" si="1"/>
        <v>[i][/i]</v>
      </c>
      <c r="X16" s="1" t="str">
        <f t="shared" si="2"/>
        <v>0</v>
      </c>
      <c r="Y16" s="1"/>
      <c r="Z16" s="1"/>
      <c r="AA16" s="1"/>
    </row>
    <row r="17">
      <c r="A17" s="7" t="s">
        <v>76</v>
      </c>
      <c r="B17" s="6" t="str">
        <f t="shared" si="4"/>
        <v>C</v>
      </c>
      <c r="C17" s="8"/>
      <c r="D17" s="9" t="str">
        <f>IFERROR(__xludf.DUMMYFUNCTION("IF(ISBLANK(A17),"""",SWITCH(IF(T17="""",0,COUNTA(SPLIT(T17,"" ""))),0,""Generic"",1,TRIM(T17),2,""Multicolor"",3,""Multicolor"",4,""Multicolor"",5,""Multicolor"",6,""Multicolor"",7,""Multicolor"",8,""Multicolor""))"),"Generic")</f>
        <v>Generic</v>
      </c>
      <c r="E17" s="1"/>
      <c r="F17" s="1"/>
      <c r="H17" s="10"/>
      <c r="I17" s="11"/>
      <c r="J17" s="11"/>
      <c r="K17" s="6" t="s">
        <v>39</v>
      </c>
      <c r="L17" s="6" t="s">
        <v>39</v>
      </c>
      <c r="Q17" s="7">
        <v>60</v>
      </c>
      <c r="R17" s="7">
        <v>50</v>
      </c>
      <c r="S17" s="1" t="str">
        <f t="shared" si="0"/>
        <v>False</v>
      </c>
      <c r="T17" s="6" t="str">
        <f>IFERROR(__xludf.DUMMYFUNCTION("CONCATENATE(if(REGEXMATCH(C17,""R""),"" Red"",""""),if(REGEXMATCH(C17,""O""),"" Orange"",""""),if(REGEXMATCH(C17,""Y""),"" Yellow"",""""),if(REGEXMATCH(C17,""G""),"" Green"",""""),if(REGEXMATCH(C17,""B""),"" Blue"",""""),if(REGEXMATCH(C17,""P""),"" Purple"&amp;""",""""))"),"")</f>
        <v/>
      </c>
      <c r="U17" s="6" t="str">
        <f>IFERROR(__xludf.DUMMYFUNCTION("TRIM(CONCAT(""[right]"", REGEXREPLACE(C17, ""([ROYGBPXZC_]|1?[0-9])"", ""[img=119]res://textures/icons/$0.png[/img]\\n"")))"),"[right]")</f>
        <v>[right]</v>
      </c>
      <c r="V17" s="1" t="str">
        <f>IFERROR(__xludf.DUMMYFUNCTION("SUBSTITUTE(SUBSTITUTE(SUBSTITUTE(SUBSTITUTE(REGEXREPLACE(SUBSTITUTE(SUBSTITUTE(SUBSTITUTE(SUBSTITUTE(REGEXREPLACE(I17, ""(\[([ROYGBPTQUXZC_]|1?[0-9])\])"", ""[img=45]res://textures/icons/$2.png[/img]""),""--"",""—""),""-&gt;"",""•""),""~@"", CONCATENATE(""[i"&amp;"]"",REGEXEXTRACT(B17,""^([\s\S]*),|$""),""[/i]"")),""~"", CONCATENATE(""[i]"",B17,""[/i]"")),""(\([\s\S]*?\))"",""[i][color=#34343A]$0[/color][/i]""), ""&lt;"", ""[""), ""&gt;"", ""]""), ""[/p][p]"", ""[font_size=15]\n\n[/font_size]""), ""[br/]"", ""\n"")"),"")</f>
        <v/>
      </c>
      <c r="W17" s="6" t="str">
        <f t="shared" si="1"/>
        <v>[i][/i]</v>
      </c>
      <c r="X17" s="1" t="str">
        <f t="shared" si="2"/>
        <v>0</v>
      </c>
      <c r="Y17" s="1"/>
    </row>
    <row r="18">
      <c r="A18" s="7" t="s">
        <v>76</v>
      </c>
      <c r="B18" s="6" t="str">
        <f t="shared" si="4"/>
        <v>C</v>
      </c>
      <c r="C18" s="8"/>
      <c r="D18" s="9" t="str">
        <f>IFERROR(__xludf.DUMMYFUNCTION("IF(ISBLANK(A18),"""",SWITCH(IF(T18="""",0,COUNTA(SPLIT(T18,"" ""))),0,""Generic"",1,TRIM(T18),2,""Multicolor"",3,""Multicolor"",4,""Multicolor"",5,""Multicolor"",6,""Multicolor"",7,""Multicolor"",8,""Multicolor""))"),"Generic")</f>
        <v>Generic</v>
      </c>
      <c r="E18" s="1"/>
      <c r="F18" s="1"/>
      <c r="H18" s="10"/>
      <c r="I18" s="11"/>
      <c r="J18" s="11"/>
      <c r="K18" s="6" t="s">
        <v>39</v>
      </c>
      <c r="L18" s="6" t="s">
        <v>39</v>
      </c>
      <c r="Q18" s="7">
        <v>60</v>
      </c>
      <c r="R18" s="7">
        <v>50</v>
      </c>
      <c r="S18" s="1" t="str">
        <f t="shared" si="0"/>
        <v>False</v>
      </c>
      <c r="T18" s="6" t="str">
        <f>IFERROR(__xludf.DUMMYFUNCTION("CONCATENATE(if(REGEXMATCH(C18,""R""),"" Red"",""""),if(REGEXMATCH(C18,""O""),"" Orange"",""""),if(REGEXMATCH(C18,""Y""),"" Yellow"",""""),if(REGEXMATCH(C18,""G""),"" Green"",""""),if(REGEXMATCH(C18,""B""),"" Blue"",""""),if(REGEXMATCH(C18,""P""),"" Purple"&amp;""",""""))"),"")</f>
        <v/>
      </c>
      <c r="U18" s="6" t="str">
        <f>IFERROR(__xludf.DUMMYFUNCTION("TRIM(CONCAT(""[right]"", REGEXREPLACE(C18, ""([ROYGBPXZC_]|1?[0-9])"", ""[img=119]res://textures/icons/$0.png[/img]\\n"")))"),"[right]")</f>
        <v>[right]</v>
      </c>
      <c r="V18" s="1" t="str">
        <f>IFERROR(__xludf.DUMMYFUNCTION("SUBSTITUTE(SUBSTITUTE(SUBSTITUTE(SUBSTITUTE(REGEXREPLACE(SUBSTITUTE(SUBSTITUTE(SUBSTITUTE(SUBSTITUTE(REGEXREPLACE(I18, ""(\[([ROYGBPTQUXZC_]|1?[0-9])\])"", ""[img=45]res://textures/icons/$2.png[/img]""),""--"",""—""),""-&gt;"",""•""),""~@"", CONCATENATE(""[i"&amp;"]"",REGEXEXTRACT(B18,""^([\s\S]*),|$""),""[/i]"")),""~"", CONCATENATE(""[i]"",B18,""[/i]"")),""(\([\s\S]*?\))"",""[i][color=#34343A]$0[/color][/i]""), ""&lt;"", ""[""), ""&gt;"", ""]""), ""[/p][p]"", ""[font_size=15]\n\n[/font_size]""), ""[br/]"", ""\n"")"),"")</f>
        <v/>
      </c>
      <c r="W18" s="6" t="str">
        <f t="shared" si="1"/>
        <v>[i][/i]</v>
      </c>
      <c r="X18" s="1" t="str">
        <f t="shared" si="2"/>
        <v>0</v>
      </c>
      <c r="Y18" s="1"/>
      <c r="Z18" s="1"/>
      <c r="AA18" s="1"/>
    </row>
    <row r="19">
      <c r="A19" s="7" t="s">
        <v>76</v>
      </c>
      <c r="B19" s="6" t="str">
        <f t="shared" si="4"/>
        <v>C</v>
      </c>
      <c r="C19" s="8"/>
      <c r="D19" s="9" t="str">
        <f>IFERROR(__xludf.DUMMYFUNCTION("IF(ISBLANK(A19),"""",SWITCH(IF(T19="""",0,COUNTA(SPLIT(T19,"" ""))),0,""Generic"",1,TRIM(T19),2,""Multicolor"",3,""Multicolor"",4,""Multicolor"",5,""Multicolor"",6,""Multicolor"",7,""Multicolor"",8,""Multicolor""))"),"Generic")</f>
        <v>Generic</v>
      </c>
      <c r="E19" s="1"/>
      <c r="F19" s="1"/>
      <c r="H19" s="10"/>
      <c r="I19" s="11"/>
      <c r="J19" s="11"/>
      <c r="K19" s="6" t="s">
        <v>39</v>
      </c>
      <c r="L19" s="6" t="s">
        <v>39</v>
      </c>
      <c r="Q19" s="7">
        <v>60</v>
      </c>
      <c r="R19" s="7">
        <v>50</v>
      </c>
      <c r="S19" s="1" t="str">
        <f t="shared" si="0"/>
        <v>False</v>
      </c>
      <c r="T19" s="6" t="str">
        <f>IFERROR(__xludf.DUMMYFUNCTION("CONCATENATE(if(REGEXMATCH(C19,""R""),"" Red"",""""),if(REGEXMATCH(C19,""O""),"" Orange"",""""),if(REGEXMATCH(C19,""Y""),"" Yellow"",""""),if(REGEXMATCH(C19,""G""),"" Green"",""""),if(REGEXMATCH(C19,""B""),"" Blue"",""""),if(REGEXMATCH(C19,""P""),"" Purple"&amp;""",""""))"),"")</f>
        <v/>
      </c>
      <c r="U19" s="6" t="str">
        <f>IFERROR(__xludf.DUMMYFUNCTION("TRIM(CONCAT(""[right]"", REGEXREPLACE(C19, ""([ROYGBPXZC_]|1?[0-9])"", ""[img=119]res://textures/icons/$0.png[/img]\\n"")))"),"[right]")</f>
        <v>[right]</v>
      </c>
      <c r="V19" s="1" t="str">
        <f>IFERROR(__xludf.DUMMYFUNCTION("SUBSTITUTE(SUBSTITUTE(SUBSTITUTE(SUBSTITUTE(REGEXREPLACE(SUBSTITUTE(SUBSTITUTE(SUBSTITUTE(SUBSTITUTE(REGEXREPLACE(I19, ""(\[([ROYGBPTQUXZC_]|1?[0-9])\])"", ""[img=45]res://textures/icons/$2.png[/img]""),""--"",""—""),""-&gt;"",""•""),""~@"", CONCATENATE(""[i"&amp;"]"",REGEXEXTRACT(B19,""^([\s\S]*),|$""),""[/i]"")),""~"", CONCATENATE(""[i]"",B19,""[/i]"")),""(\([\s\S]*?\))"",""[i][color=#34343A]$0[/color][/i]""), ""&lt;"", ""[""), ""&gt;"", ""]""), ""[/p][p]"", ""[font_size=15]\n\n[/font_size]""), ""[br/]"", ""\n"")"),"")</f>
        <v/>
      </c>
      <c r="W19" s="6" t="str">
        <f t="shared" si="1"/>
        <v>[i][/i]</v>
      </c>
      <c r="X19" s="1" t="str">
        <f t="shared" si="2"/>
        <v>0</v>
      </c>
      <c r="Y19" s="1"/>
    </row>
    <row r="20">
      <c r="A20" s="7" t="s">
        <v>76</v>
      </c>
      <c r="B20" s="6" t="str">
        <f t="shared" si="4"/>
        <v>C</v>
      </c>
      <c r="C20" s="8"/>
      <c r="D20" s="9" t="str">
        <f>IFERROR(__xludf.DUMMYFUNCTION("IF(ISBLANK(A20),"""",SWITCH(IF(T20="""",0,COUNTA(SPLIT(T20,"" ""))),0,""Generic"",1,TRIM(T20),2,""Multicolor"",3,""Multicolor"",4,""Multicolor"",5,""Multicolor"",6,""Multicolor"",7,""Multicolor"",8,""Multicolor""))"),"Generic")</f>
        <v>Generic</v>
      </c>
      <c r="E20" s="1"/>
      <c r="F20" s="1"/>
      <c r="H20" s="10"/>
      <c r="I20" s="11"/>
      <c r="J20" s="11"/>
      <c r="K20" s="6" t="s">
        <v>39</v>
      </c>
      <c r="L20" s="6" t="s">
        <v>39</v>
      </c>
      <c r="Q20" s="7">
        <v>60</v>
      </c>
      <c r="R20" s="7">
        <v>50</v>
      </c>
      <c r="S20" s="1" t="str">
        <f t="shared" si="0"/>
        <v>False</v>
      </c>
      <c r="T20" s="6" t="str">
        <f>IFERROR(__xludf.DUMMYFUNCTION("CONCATENATE(if(REGEXMATCH(C20,""R""),"" Red"",""""),if(REGEXMATCH(C20,""O""),"" Orange"",""""),if(REGEXMATCH(C20,""Y""),"" Yellow"",""""),if(REGEXMATCH(C20,""G""),"" Green"",""""),if(REGEXMATCH(C20,""B""),"" Blue"",""""),if(REGEXMATCH(C20,""P""),"" Purple"&amp;""",""""))"),"")</f>
        <v/>
      </c>
      <c r="U20" s="6" t="str">
        <f>IFERROR(__xludf.DUMMYFUNCTION("TRIM(CONCAT(""[right]"", REGEXREPLACE(C20, ""([ROYGBPXZC_]|1?[0-9])"", ""[img=119]res://textures/icons/$0.png[/img]\\n"")))"),"[right]")</f>
        <v>[right]</v>
      </c>
      <c r="V20" s="1" t="str">
        <f>IFERROR(__xludf.DUMMYFUNCTION("SUBSTITUTE(SUBSTITUTE(SUBSTITUTE(SUBSTITUTE(REGEXREPLACE(SUBSTITUTE(SUBSTITUTE(SUBSTITUTE(SUBSTITUTE(REGEXREPLACE(I20, ""(\[([ROYGBPTQUXZC_]|1?[0-9])\])"", ""[img=45]res://textures/icons/$2.png[/img]""),""--"",""—""),""-&gt;"",""•""),""~@"", CONCATENATE(""[i"&amp;"]"",REGEXEXTRACT(B20,""^([\s\S]*),|$""),""[/i]"")),""~"", CONCATENATE(""[i]"",B20,""[/i]"")),""(\([\s\S]*?\))"",""[i][color=#34343A]$0[/color][/i]""), ""&lt;"", ""[""), ""&gt;"", ""]""), ""[/p][p]"", ""[font_size=15]\n\n[/font_size]""), ""[br/]"", ""\n"")"),"")</f>
        <v/>
      </c>
      <c r="W20" s="6" t="str">
        <f t="shared" si="1"/>
        <v>[i][/i]</v>
      </c>
      <c r="X20" s="1" t="str">
        <f t="shared" si="2"/>
        <v>0</v>
      </c>
      <c r="Y20" s="1"/>
    </row>
    <row r="21">
      <c r="A21" s="7" t="s">
        <v>76</v>
      </c>
      <c r="B21" s="6" t="str">
        <f t="shared" si="4"/>
        <v>C</v>
      </c>
      <c r="C21" s="8"/>
      <c r="D21" s="9" t="str">
        <f>IFERROR(__xludf.DUMMYFUNCTION("IF(ISBLANK(A21),"""",SWITCH(IF(T21="""",0,COUNTA(SPLIT(T21,"" ""))),0,""Generic"",1,TRIM(T21),2,""Multicolor"",3,""Multicolor"",4,""Multicolor"",5,""Multicolor"",6,""Multicolor"",7,""Multicolor"",8,""Multicolor""))"),"Generic")</f>
        <v>Generic</v>
      </c>
      <c r="E21" s="1"/>
      <c r="F21" s="1"/>
      <c r="H21" s="10"/>
      <c r="I21" s="11"/>
      <c r="J21" s="11"/>
      <c r="K21" s="6" t="s">
        <v>39</v>
      </c>
      <c r="L21" s="6" t="s">
        <v>39</v>
      </c>
      <c r="Q21" s="7">
        <v>60</v>
      </c>
      <c r="R21" s="7">
        <v>50</v>
      </c>
      <c r="S21" s="1" t="str">
        <f t="shared" si="0"/>
        <v>False</v>
      </c>
      <c r="T21" s="6" t="str">
        <f>IFERROR(__xludf.DUMMYFUNCTION("CONCATENATE(if(REGEXMATCH(C21,""R""),"" Red"",""""),if(REGEXMATCH(C21,""O""),"" Orange"",""""),if(REGEXMATCH(C21,""Y""),"" Yellow"",""""),if(REGEXMATCH(C21,""G""),"" Green"",""""),if(REGEXMATCH(C21,""B""),"" Blue"",""""),if(REGEXMATCH(C21,""P""),"" Purple"&amp;""",""""))"),"")</f>
        <v/>
      </c>
      <c r="U21" s="6" t="str">
        <f>IFERROR(__xludf.DUMMYFUNCTION("TRIM(CONCAT(""[right]"", REGEXREPLACE(C21, ""([ROYGBPXZC_]|1?[0-9])"", ""[img=119]res://textures/icons/$0.png[/img]\\n"")))"),"[right]")</f>
        <v>[right]</v>
      </c>
      <c r="V21" s="1" t="str">
        <f>IFERROR(__xludf.DUMMYFUNCTION("SUBSTITUTE(SUBSTITUTE(SUBSTITUTE(SUBSTITUTE(REGEXREPLACE(SUBSTITUTE(SUBSTITUTE(SUBSTITUTE(SUBSTITUTE(REGEXREPLACE(I21, ""(\[([ROYGBPTQUXZC_]|1?[0-9])\])"", ""[img=45]res://textures/icons/$2.png[/img]""),""--"",""—""),""-&gt;"",""•""),""~@"", CONCATENATE(""[i"&amp;"]"",REGEXEXTRACT(B21,""^([\s\S]*),|$""),""[/i]"")),""~"", CONCATENATE(""[i]"",B21,""[/i]"")),""(\([\s\S]*?\))"",""[i][color=#34343A]$0[/color][/i]""), ""&lt;"", ""[""), ""&gt;"", ""]""), ""[/p][p]"", ""[font_size=15]\n\n[/font_size]""), ""[br/]"", ""\n"")"),"")</f>
        <v/>
      </c>
      <c r="W21" s="6" t="str">
        <f t="shared" si="1"/>
        <v>[i][/i]</v>
      </c>
      <c r="X21" s="1" t="str">
        <f t="shared" si="2"/>
        <v>0</v>
      </c>
      <c r="Y21" s="1"/>
    </row>
    <row r="22">
      <c r="A22" s="7" t="s">
        <v>76</v>
      </c>
      <c r="B22" s="6" t="str">
        <f t="shared" si="4"/>
        <v>C</v>
      </c>
      <c r="C22" s="8"/>
      <c r="D22" s="9" t="str">
        <f>IFERROR(__xludf.DUMMYFUNCTION("IF(ISBLANK(A22),"""",SWITCH(IF(T22="""",0,COUNTA(SPLIT(T22,"" ""))),0,""Generic"",1,TRIM(T22),2,""Multicolor"",3,""Multicolor"",4,""Multicolor"",5,""Multicolor"",6,""Multicolor"",7,""Multicolor"",8,""Multicolor""))"),"Generic")</f>
        <v>Generic</v>
      </c>
      <c r="E22" s="1"/>
      <c r="F22" s="1"/>
      <c r="H22" s="10"/>
      <c r="I22" s="11"/>
      <c r="J22" s="11"/>
      <c r="K22" s="6" t="s">
        <v>39</v>
      </c>
      <c r="L22" s="6" t="s">
        <v>39</v>
      </c>
      <c r="Q22" s="7">
        <v>60</v>
      </c>
      <c r="R22" s="7">
        <v>50</v>
      </c>
      <c r="S22" s="1" t="str">
        <f t="shared" si="0"/>
        <v>False</v>
      </c>
      <c r="T22" s="6" t="str">
        <f>IFERROR(__xludf.DUMMYFUNCTION("CONCATENATE(if(REGEXMATCH(C22,""R""),"" Red"",""""),if(REGEXMATCH(C22,""O""),"" Orange"",""""),if(REGEXMATCH(C22,""Y""),"" Yellow"",""""),if(REGEXMATCH(C22,""G""),"" Green"",""""),if(REGEXMATCH(C22,""B""),"" Blue"",""""),if(REGEXMATCH(C22,""P""),"" Purple"&amp;""",""""))"),"")</f>
        <v/>
      </c>
      <c r="U22" s="6" t="str">
        <f>IFERROR(__xludf.DUMMYFUNCTION("TRIM(CONCAT(""[right]"", REGEXREPLACE(C22, ""([ROYGBPXZC_]|1?[0-9])"", ""[img=119]res://textures/icons/$0.png[/img]\\n"")))"),"[right]")</f>
        <v>[right]</v>
      </c>
      <c r="V22" s="1" t="str">
        <f>IFERROR(__xludf.DUMMYFUNCTION("SUBSTITUTE(SUBSTITUTE(SUBSTITUTE(SUBSTITUTE(REGEXREPLACE(SUBSTITUTE(SUBSTITUTE(SUBSTITUTE(SUBSTITUTE(REGEXREPLACE(I22, ""(\[([ROYGBPTQUXZC_]|1?[0-9])\])"", ""[img=45]res://textures/icons/$2.png[/img]""),""--"",""—""),""-&gt;"",""•""),""~@"", CONCATENATE(""[i"&amp;"]"",REGEXEXTRACT(B22,""^([\s\S]*),|$""),""[/i]"")),""~"", CONCATENATE(""[i]"",B22,""[/i]"")),""(\([\s\S]*?\))"",""[i][color=#34343A]$0[/color][/i]""), ""&lt;"", ""[""), ""&gt;"", ""]""), ""[/p][p]"", ""[font_size=15]\n\n[/font_size]""), ""[br/]"", ""\n"")"),"")</f>
        <v/>
      </c>
      <c r="W22" s="6" t="str">
        <f t="shared" si="1"/>
        <v>[i][/i]</v>
      </c>
      <c r="X22" s="1" t="str">
        <f t="shared" si="2"/>
        <v>0</v>
      </c>
      <c r="Y22" s="1"/>
    </row>
    <row r="23">
      <c r="A23" s="7" t="s">
        <v>76</v>
      </c>
      <c r="B23" s="6" t="str">
        <f t="shared" si="4"/>
        <v>C</v>
      </c>
      <c r="C23" s="8"/>
      <c r="D23" s="9" t="str">
        <f>IFERROR(__xludf.DUMMYFUNCTION("IF(ISBLANK(A23),"""",SWITCH(IF(T23="""",0,COUNTA(SPLIT(T23,"" ""))),0,""Generic"",1,TRIM(T23),2,""Multicolor"",3,""Multicolor"",4,""Multicolor"",5,""Multicolor"",6,""Multicolor"",7,""Multicolor"",8,""Multicolor""))"),"Generic")</f>
        <v>Generic</v>
      </c>
      <c r="E23" s="1"/>
      <c r="F23" s="1"/>
      <c r="H23" s="10"/>
      <c r="I23" s="11"/>
      <c r="J23" s="11"/>
      <c r="K23" s="6" t="s">
        <v>39</v>
      </c>
      <c r="L23" s="6" t="s">
        <v>39</v>
      </c>
      <c r="Q23" s="7">
        <v>60</v>
      </c>
      <c r="R23" s="7">
        <v>50</v>
      </c>
      <c r="S23" s="1" t="str">
        <f t="shared" si="0"/>
        <v>False</v>
      </c>
      <c r="T23" s="6" t="str">
        <f>IFERROR(__xludf.DUMMYFUNCTION("CONCATENATE(if(REGEXMATCH(C23,""R""),"" Red"",""""),if(REGEXMATCH(C23,""O""),"" Orange"",""""),if(REGEXMATCH(C23,""Y""),"" Yellow"",""""),if(REGEXMATCH(C23,""G""),"" Green"",""""),if(REGEXMATCH(C23,""B""),"" Blue"",""""),if(REGEXMATCH(C23,""P""),"" Purple"&amp;""",""""))"),"")</f>
        <v/>
      </c>
      <c r="U23" s="6" t="str">
        <f>IFERROR(__xludf.DUMMYFUNCTION("TRIM(CONCAT(""[right]"", REGEXREPLACE(C23, ""([ROYGBPXZC_]|1?[0-9])"", ""[img=119]res://textures/icons/$0.png[/img]\\n"")))"),"[right]")</f>
        <v>[right]</v>
      </c>
      <c r="V23" s="1" t="str">
        <f>IFERROR(__xludf.DUMMYFUNCTION("SUBSTITUTE(SUBSTITUTE(SUBSTITUTE(SUBSTITUTE(REGEXREPLACE(SUBSTITUTE(SUBSTITUTE(SUBSTITUTE(SUBSTITUTE(REGEXREPLACE(I23, ""(\[([ROYGBPTQUXZC_]|1?[0-9])\])"", ""[img=45]res://textures/icons/$2.png[/img]""),""--"",""—""),""-&gt;"",""•""),""~@"", CONCATENATE(""[i"&amp;"]"",REGEXEXTRACT(B23,""^([\s\S]*),|$""),""[/i]"")),""~"", CONCATENATE(""[i]"",B23,""[/i]"")),""(\([\s\S]*?\))"",""[i][color=#34343A]$0[/color][/i]""), ""&lt;"", ""[""), ""&gt;"", ""]""), ""[/p][p]"", ""[font_size=15]\n\n[/font_size]""), ""[br/]"", ""\n"")"),"")</f>
        <v/>
      </c>
      <c r="W23" s="6" t="str">
        <f t="shared" si="1"/>
        <v>[i][/i]</v>
      </c>
      <c r="X23" s="1" t="str">
        <f t="shared" si="2"/>
        <v>0</v>
      </c>
      <c r="Y23" s="1"/>
    </row>
    <row r="24">
      <c r="A24" s="7" t="s">
        <v>76</v>
      </c>
      <c r="B24" s="6" t="str">
        <f t="shared" si="4"/>
        <v>C</v>
      </c>
      <c r="C24" s="8"/>
      <c r="D24" s="9" t="str">
        <f>IFERROR(__xludf.DUMMYFUNCTION("IF(ISBLANK(A24),"""",SWITCH(IF(T24="""",0,COUNTA(SPLIT(T24,"" ""))),0,""Generic"",1,TRIM(T24),2,""Multicolor"",3,""Multicolor"",4,""Multicolor"",5,""Multicolor"",6,""Multicolor"",7,""Multicolor"",8,""Multicolor""))"),"Generic")</f>
        <v>Generic</v>
      </c>
      <c r="E24" s="1"/>
      <c r="F24" s="1"/>
      <c r="H24" s="10"/>
      <c r="I24" s="11"/>
      <c r="J24" s="11"/>
      <c r="K24" s="6" t="s">
        <v>39</v>
      </c>
      <c r="L24" s="6" t="s">
        <v>39</v>
      </c>
      <c r="Q24" s="7">
        <v>60</v>
      </c>
      <c r="R24" s="7">
        <v>50</v>
      </c>
      <c r="S24" s="1" t="str">
        <f t="shared" si="0"/>
        <v>False</v>
      </c>
      <c r="T24" s="6" t="str">
        <f>IFERROR(__xludf.DUMMYFUNCTION("CONCATENATE(if(REGEXMATCH(C24,""R""),"" Red"",""""),if(REGEXMATCH(C24,""O""),"" Orange"",""""),if(REGEXMATCH(C24,""Y""),"" Yellow"",""""),if(REGEXMATCH(C24,""G""),"" Green"",""""),if(REGEXMATCH(C24,""B""),"" Blue"",""""),if(REGEXMATCH(C24,""P""),"" Purple"&amp;""",""""))"),"")</f>
        <v/>
      </c>
      <c r="U24" s="6" t="str">
        <f>IFERROR(__xludf.DUMMYFUNCTION("TRIM(CONCAT(""[right]"", REGEXREPLACE(C24, ""([ROYGBPXZC_]|1?[0-9])"", ""[img=119]res://textures/icons/$0.png[/img]\\n"")))"),"[right]")</f>
        <v>[right]</v>
      </c>
      <c r="V24" s="1" t="str">
        <f>IFERROR(__xludf.DUMMYFUNCTION("SUBSTITUTE(SUBSTITUTE(SUBSTITUTE(SUBSTITUTE(REGEXREPLACE(SUBSTITUTE(SUBSTITUTE(SUBSTITUTE(SUBSTITUTE(REGEXREPLACE(I24, ""(\[([ROYGBPTQUXZC_]|1?[0-9])\])"", ""[img=45]res://textures/icons/$2.png[/img]""),""--"",""—""),""-&gt;"",""•""),""~@"", CONCATENATE(""[i"&amp;"]"",REGEXEXTRACT(B24,""^([\s\S]*),|$""),""[/i]"")),""~"", CONCATENATE(""[i]"",B24,""[/i]"")),""(\([\s\S]*?\))"",""[i][color=#34343A]$0[/color][/i]""), ""&lt;"", ""[""), ""&gt;"", ""]""), ""[/p][p]"", ""[font_size=15]\n\n[/font_size]""), ""[br/]"", ""\n"")"),"")</f>
        <v/>
      </c>
      <c r="W24" s="6" t="str">
        <f t="shared" si="1"/>
        <v>[i][/i]</v>
      </c>
      <c r="X24" s="1" t="str">
        <f t="shared" si="2"/>
        <v>0</v>
      </c>
      <c r="Y24" s="1"/>
    </row>
    <row r="25" ht="114.75">
      <c r="A25" s="1" t="s">
        <v>77</v>
      </c>
      <c r="B25" s="1" t="s">
        <v>78</v>
      </c>
      <c r="C25" s="2" t="s">
        <v>79</v>
      </c>
      <c r="D25" s="9" t="str">
        <f>IFERROR(__xludf.DUMMYFUNCTION("IF(ISBLANK(A25),"""",SWITCH(IF(T25="""",0,COUNTA(SPLIT(T25,"" ""))),0,""Generic"",1,TRIM(T25),2,""Multicolor"",3,""Multicolor"",4,""Multicolor"",5,""Multicolor"",6,""Multicolor"",7,""Multicolor"",8,""Multicolor""))"),"Multicolor")</f>
        <v>Multicolor</v>
      </c>
      <c r="E25" s="1" t="s">
        <v>49</v>
      </c>
      <c r="F25" s="1" t="s">
        <v>80</v>
      </c>
      <c r="G25" s="1" t="s">
        <v>81</v>
      </c>
      <c r="H25" s="3" t="s">
        <v>37</v>
      </c>
      <c r="I25" s="4" t="s">
        <v>82</v>
      </c>
      <c r="J25" s="4" t="s">
        <v>83</v>
      </c>
      <c r="K25" s="16">
        <v>6</v>
      </c>
      <c r="L25" s="16">
        <v>4</v>
      </c>
      <c r="M25" s="1"/>
      <c r="O25" s="17" t="s">
        <v>84</v>
      </c>
      <c r="Q25" s="16">
        <v>50</v>
      </c>
      <c r="R25" s="16">
        <v>35</v>
      </c>
      <c r="S25" s="1" t="str">
        <f t="shared" si="0"/>
        <v>True</v>
      </c>
      <c r="T25" s="6" t="str">
        <f>IFERROR(__xludf.DUMMYFUNCTION("CONCATENATE(if(REGEXMATCH(C25,""R""),"" Red"",""""),if(REGEXMATCH(C25,""O""),"" Orange"",""""),if(REGEXMATCH(C25,""Y""),"" Yellow"",""""),if(REGEXMATCH(C25,""G""),"" Green"",""""),if(REGEXMATCH(C25,""B""),"" Blue"",""""),if(REGEXMATCH(C25,""P""),"" Purple"&amp;""",""""))")," Red Yellow")</f>
        <v xml:space="preserve">Red Yellow</v>
      </c>
      <c r="U25" s="6" t="str">
        <f>IFERROR(__xludf.DUMMYFUNCTION("TRIM(CONCAT(""[right]"", REGEXREPLACE(C25, ""([ROYGBPXZC_]|1?[0-9])"", ""[img=119]res://textures/icons/$0.png[/img]\\n"")))"),"[right][img=119]res://textures/icons/1.png[/img]\n[img=119]res://textures/icons/R.png[/img]\n[img=119]res://textures/icons/Y.png[/img]\n")</f>
        <v>[right][img=119]res://textures/icons/1.png[/img]\n[img=119]res://textures/icons/R.png[/img]\n[img=119]res://textures/icons/Y.png[/img]\n</v>
      </c>
      <c r="V25" s="1" t="str">
        <f>IFERROR(__xludf.DUMMYFUNCTION("SUBSTITUTE(SUBSTITUTE(SUBSTITUTE(SUBSTITUTE(REGEXREPLACE(SUBSTITUTE(SUBSTITUTE(SUBSTITUTE(SUBSTITUTE(REGEXREPLACE(I25, ""(\[([ROYGBPTQUXZC_]|1?[0-9])\])"", ""[img=45]res://textures/icons/$2.png[/img]""),""--"",""—""),""-&gt;"",""•""),""~@"", CONCATENATE(""[i"&amp;"]"",REGEXEXTRACT(B25,""^([\s\S]*),|$""),""[/i]"")),""~"", CONCATENATE(""[i]"",B25,""[/i]"")),""(\([\s\S]*?\))"",""[i][color=#34343A]$0[/color][/i]""), ""&lt;"", ""[""), ""&gt;"", ""]""), ""[/p][p]"", ""[font_size=15]\n\n[/font_size]""), ""[br/]"", ""\n"")"),"[center][i][color=#34343A](Becomes [i]'Blossom's Burn the Ring'[/i] if you already control [i]Blossom[/i].)[/color][/i][/center][p]Each time [i]Blossom[/i] has seen you deploy 3 effects choosing combatants you control, at end of turn, you may return 1 of "&amp;"those effects from your discard to your hand.[font_size=15]\n\n[/font_size][b][i]As Asset[/i][/b] — Whenever a combatant you control dies, create a [u]fleeting[/u] [i][color=#34343A](Discard it at end of turn.)[/color][/i], [u]transient[/u] [i][color=#343"&amp;"43A](It ceases to exist if it enters any player's discard.)[/color][/i] [i]'Torment the Opponent'[/i] in your hand.[/p]")</f>
        <v xml:space="preserve">[center][i][color=#34343A](Becomes [i]'Blossom's Burn the Ring'[/i] if you already control [i]Blossom[/i].)[/color][/i][/center][p]Each time [i]Blossom[/i] has seen you deploy 3 effects choosing combatants you control, at end of turn, you may return 1 of those effects from your discard to your hand.[font_size=15]\n\n[/font_size][b][i]As Asset[/i][/b] — Whenever a combatant you control dies, create a [u]fleeting[/u] [i][color=#34343A](Discard it at end of turn.)[/color][/i], [u]transient[/u] [i][color=#34343A](It ceases to exist if it enters any player's discard.)[/color][/i] [i]'Torment the Opponent'[/i] in your hand.[/p]</v>
      </c>
      <c r="W25" s="6" t="str">
        <f t="shared" si="1"/>
        <v>[i]Commander[/i]</v>
      </c>
      <c r="X25" s="1" t="str">
        <f t="shared" si="2"/>
        <v>RS_M_CMDR_RY_001</v>
      </c>
      <c r="Y25" s="1"/>
    </row>
    <row r="26" ht="76.5">
      <c r="A26" s="1" t="s">
        <v>85</v>
      </c>
      <c r="B26" s="7" t="s">
        <v>86</v>
      </c>
      <c r="C26" s="12" t="s">
        <v>87</v>
      </c>
      <c r="D26" s="9" t="str">
        <f>IFERROR(__xludf.DUMMYFUNCTION("IF(ISBLANK(A26),"""",SWITCH(IF(T26="""",0,COUNTA(SPLIT(T26,"" ""))),0,""Generic"",1,TRIM(T26),2,""Multicolor"",3,""Multicolor"",4,""Multicolor"",5,""Multicolor"",6,""Multicolor"",7,""Multicolor"",8,""Multicolor""))"),"Multicolor")</f>
        <v>Multicolor</v>
      </c>
      <c r="E26" s="1"/>
      <c r="F26" s="1" t="s">
        <v>63</v>
      </c>
      <c r="G26" s="7" t="s">
        <v>88</v>
      </c>
      <c r="H26" s="10" t="s">
        <v>28</v>
      </c>
      <c r="I26" s="11" t="s">
        <v>89</v>
      </c>
      <c r="J26" s="11" t="s">
        <v>90</v>
      </c>
      <c r="K26" s="7"/>
      <c r="L26" s="7"/>
      <c r="Q26" s="7">
        <v>50</v>
      </c>
      <c r="R26" s="16">
        <v>35</v>
      </c>
      <c r="S26" s="1" t="str">
        <f t="shared" si="0"/>
        <v>False</v>
      </c>
      <c r="T26" s="6" t="str">
        <f>IFERROR(__xludf.DUMMYFUNCTION("CONCATENATE(if(REGEXMATCH(C26,""R""),"" Red"",""""),if(REGEXMATCH(C26,""O""),"" Orange"",""""),if(REGEXMATCH(C26,""Y""),"" Yellow"",""""),if(REGEXMATCH(C26,""G""),"" Green"",""""),if(REGEXMATCH(C26,""B""),"" Blue"",""""),if(REGEXMATCH(C26,""P""),"" Purple"&amp;""",""""))")," Red Yellow")</f>
        <v xml:space="preserve">Red Yellow</v>
      </c>
      <c r="U26" s="6" t="str">
        <f>IFERROR(__xludf.DUMMYFUNCTION("TRIM(CONCAT(""[right]"", REGEXREPLACE(C26, ""([ROYGBPXZC_]|1?[0-9])"", ""[img=119]res://textures/icons/$0.png[/img]\\n"")))"),"[right][img=119]res://textures/icons/R.png[/img]\n[img=119]res://textures/icons/Y.png[/img]\n")</f>
        <v>[right][img=119]res://textures/icons/R.png[/img]\n[img=119]res://textures/icons/Y.png[/img]\n</v>
      </c>
      <c r="V26" s="1" t="str">
        <f>IFERROR(__xludf.DUMMYFUNCTION("SUBSTITUTE(SUBSTITUTE(SUBSTITUTE(SUBSTITUTE(REGEXREPLACE(SUBSTITUTE(SUBSTITUTE(SUBSTITUTE(SUBSTITUTE(REGEXREPLACE(I26, ""(\[([ROYGBPTQUXZC_]|1?[0-9])\])"", ""[img=45]res://textures/icons/$2.png[/img]""),""--"",""—""),""-&gt;"",""•""),""~@"", CONCATENATE(""[i"&amp;"]"",REGEXEXTRACT(B26,""^([\s\S]*),|$""),""[/i]"")),""~"", CONCATENATE(""[i]"",B26,""[/i]"")),""(\([\s\S]*?\))"",""[i][color=#34343A]$0[/color][/i]""), ""&lt;"", ""[""), ""&gt;"", ""]""), ""[/p][p]"", ""[font_size=15]\n\n[/font_size]""), ""[br/]"", ""\n"")"),"[center][i][color=#34343A](This effect can only be deployed if you control a renowned asset. Banked energy can't be spent to deploy renowned cards.)[/color][/i][/center][p]Choose up to 3 assets or players; [i]Blossom's Burn the Ring[/i] deals 6 damage spl"&amp;"it between them.[font_size=15]\n\n[/font_size][u]Personal[/u] [i][color=#34343A](Shuffle [i]'Blossom, Battlemaster'[/i] into your deck.)[/color][/i][/p]")</f>
        <v xml:space="preserve">[center][i][color=#34343A](This effect can only be deployed if you control a renowned asset. Banked energy can't be spent to deploy renowned cards.)[/color][/i][/center][p]Choose up to 3 assets or players; [i]Blossom's Burn the Ring[/i] deals 6 damage split between them.[font_size=15]\n\n[/font_size][u]Personal[/u] [i][color=#34343A](Shuffle [i]'Blossom, Battlemaster'[/i] into your deck.)[/color][/i][/p]</v>
      </c>
      <c r="W26" s="6" t="str">
        <f t="shared" si="1"/>
        <v xml:space="preserve">[i]R. Effect[/i]</v>
      </c>
      <c r="X26" s="1" t="str">
        <f t="shared" si="2"/>
        <v>RS_M_CMDR_RY_001b</v>
      </c>
      <c r="Y26" s="1"/>
    </row>
    <row r="27" ht="76.5">
      <c r="A27" s="7" t="s">
        <v>91</v>
      </c>
      <c r="B27" s="7" t="s">
        <v>92</v>
      </c>
      <c r="C27" s="12" t="s">
        <v>93</v>
      </c>
      <c r="D27" s="9" t="str">
        <f>IFERROR(__xludf.DUMMYFUNCTION("IF(ISBLANK(A27),"""",SWITCH(IF(T27="""",0,COUNTA(SPLIT(T27,"" ""))),0,""Generic"",1,TRIM(T27),2,""Multicolor"",3,""Multicolor"",4,""Multicolor"",5,""Multicolor"",6,""Multicolor"",7,""Multicolor"",8,""Multicolor""))"),"Yellow")</f>
        <v>Yellow</v>
      </c>
      <c r="E27" s="1" t="s">
        <v>49</v>
      </c>
      <c r="F27" s="1" t="s">
        <v>26</v>
      </c>
      <c r="G27" s="1" t="s">
        <v>81</v>
      </c>
      <c r="H27" s="10" t="s">
        <v>37</v>
      </c>
      <c r="I27" s="11" t="s">
        <v>94</v>
      </c>
      <c r="J27" s="11" t="s">
        <v>95</v>
      </c>
      <c r="K27" s="7">
        <v>5</v>
      </c>
      <c r="L27" s="7">
        <v>5</v>
      </c>
      <c r="Q27" s="7">
        <v>60</v>
      </c>
      <c r="R27" s="16">
        <v>35</v>
      </c>
      <c r="S27" s="1" t="str">
        <f t="shared" si="0"/>
        <v>True</v>
      </c>
      <c r="T27" s="6" t="str">
        <f>IFERROR(__xludf.DUMMYFUNCTION("CONCATENATE(if(REGEXMATCH(C27,""R""),"" Red"",""""),if(REGEXMATCH(C27,""O""),"" Orange"",""""),if(REGEXMATCH(C27,""Y""),"" Yellow"",""""),if(REGEXMATCH(C27,""G""),"" Green"",""""),if(REGEXMATCH(C27,""B""),"" Blue"",""""),if(REGEXMATCH(C27,""P""),"" Purple"&amp;""",""""))")," Yellow")</f>
        <v>Yellow</v>
      </c>
      <c r="U27" s="6" t="str">
        <f>IFERROR(__xludf.DUMMYFUNCTION("TRIM(CONCAT(""[right]"", REGEXREPLACE(C27, ""([ROYGBPXZC_]|1?[0-9])"", ""[img=119]res://textures/icons/$0.png[/img]\\n"")))"),"[right][img=119]res://textures/icons/1.png[/img]\n[img=119]res://textures/icons/Y.png[/img]\n[img=119]res://textures/icons/Y.png[/img]\n")</f>
        <v>[right][img=119]res://textures/icons/1.png[/img]\n[img=119]res://textures/icons/Y.png[/img]\n[img=119]res://textures/icons/Y.png[/img]\n</v>
      </c>
      <c r="V27" s="1" t="str">
        <f>IFERROR(__xludf.DUMMYFUNCTION("SUBSTITUTE(SUBSTITUTE(SUBSTITUTE(SUBSTITUTE(REGEXREPLACE(SUBSTITUTE(SUBSTITUTE(SUBSTITUTE(SUBSTITUTE(REGEXREPLACE(I27, ""(\[([ROYGBPTQUXZC_]|1?[0-9])\])"", ""[img=45]res://textures/icons/$2.png[/img]""),""--"",""—""),""-&gt;"",""•""),""~@"", CONCATENATE(""[i"&amp;"]"",REGEXEXTRACT(B27,""^([\s\S]*),|$""),""[/i]"")),""~"", CONCATENATE(""[i]"",B27,""[/i]"")),""(\([\s\S]*?\))"",""[i][color=#34343A]$0[/color][/i]""), ""&lt;"", ""[""), ""&gt;"", ""]""), ""[/p][p]"", ""[font_size=15]\n\n[/font_size]""), ""[br/]"", ""\n"")"),"[center][u]Exchange [img=45]res://textures/icons/R.png[/img][img=45]res://textures/icons/Y.png[/img][/u] [i][color=#34343A](Pay [img=45]res://textures/icons/R.png[/img][img=45]res://textures/icons/Y.png[/img], Discard [i]Frugal Angel[/i] from your hand: D"&amp;"raw a card.)[/color][/i][/center][p]Whenever [i]Frugal Angel[/i] attacks, create a [i]'Savings'[/i] in your hand.[/p]")</f>
        <v xml:space="preserve">[center][u]Exchange [img=45]res://textures/icons/R.png[/img][img=45]res://textures/icons/Y.png[/img][/u] [i][color=#34343A](Pay [img=45]res://textures/icons/R.png[/img][img=45]res://textures/icons/Y.png[/img], Discard [i]Frugal Angel[/i] from your hand: Draw a card.)[/color][/i][/center][p]Whenever [i]Frugal Angel[/i] attacks, create a [i]'Savings'[/i] in your hand.[/p]</v>
      </c>
      <c r="W27" s="6" t="str">
        <f t="shared" si="1"/>
        <v>[i]Asset[/i]</v>
      </c>
      <c r="X27" s="1" t="str">
        <f t="shared" si="2"/>
        <v>RS_RY_001</v>
      </c>
      <c r="Y27" s="1"/>
    </row>
    <row r="28" ht="89.25">
      <c r="A28" s="7" t="s">
        <v>96</v>
      </c>
      <c r="B28" s="7" t="s">
        <v>97</v>
      </c>
      <c r="C28" s="12" t="s">
        <v>87</v>
      </c>
      <c r="D28" s="9" t="str">
        <f>IFERROR(__xludf.DUMMYFUNCTION("IF(ISBLANK(A28),"""",SWITCH(IF(T28="""",0,COUNTA(SPLIT(T28,"" ""))),0,""Generic"",1,TRIM(T28),2,""Multicolor"",3,""Multicolor"",4,""Multicolor"",5,""Multicolor"",6,""Multicolor"",7,""Multicolor"",8,""Multicolor""))"),"Multicolor")</f>
        <v>Multicolor</v>
      </c>
      <c r="E28" s="1"/>
      <c r="F28" s="1" t="s">
        <v>26</v>
      </c>
      <c r="G28" s="7" t="s">
        <v>98</v>
      </c>
      <c r="H28" s="10" t="s">
        <v>37</v>
      </c>
      <c r="I28" s="11" t="s">
        <v>99</v>
      </c>
      <c r="J28" s="11"/>
      <c r="K28" s="6" t="s">
        <v>39</v>
      </c>
      <c r="L28" s="6" t="s">
        <v>39</v>
      </c>
      <c r="Q28" s="7">
        <v>50</v>
      </c>
      <c r="R28" s="7">
        <v>35</v>
      </c>
      <c r="S28" s="1" t="str">
        <f t="shared" si="0"/>
        <v>False</v>
      </c>
      <c r="T28" s="6" t="str">
        <f>IFERROR(__xludf.DUMMYFUNCTION("CONCATENATE(if(REGEXMATCH(C28,""R""),"" Red"",""""),if(REGEXMATCH(C28,""O""),"" Orange"",""""),if(REGEXMATCH(C28,""Y""),"" Yellow"",""""),if(REGEXMATCH(C28,""G""),"" Green"",""""),if(REGEXMATCH(C28,""B""),"" Blue"",""""),if(REGEXMATCH(C28,""P""),"" Purple"&amp;""",""""))")," Red Yellow")</f>
        <v xml:space="preserve">Red Yellow</v>
      </c>
      <c r="U28" s="6" t="str">
        <f>IFERROR(__xludf.DUMMYFUNCTION("TRIM(CONCAT(""[right]"", REGEXREPLACE(C28, ""([ROYGBPXZC_]|1?[0-9])"", ""[img=119]res://textures/icons/$0.png[/img]\\n"")))"),"[right][img=119]res://textures/icons/R.png[/img]\n[img=119]res://textures/icons/Y.png[/img]\n")</f>
        <v>[right][img=119]res://textures/icons/R.png[/img]\n[img=119]res://textures/icons/Y.png[/img]\n</v>
      </c>
      <c r="V28" s="1" t="str">
        <f>IFERROR(__xludf.DUMMYFUNCTION("SUBSTITUTE(SUBSTITUTE(SUBSTITUTE(SUBSTITUTE(REGEXREPLACE(SUBSTITUTE(SUBSTITUTE(SUBSTITUTE(SUBSTITUTE(REGEXREPLACE(I28, ""(\[([ROYGBPTQUXZC_]|1?[0-9])\])"", ""[img=45]res://textures/icons/$2.png[/img]""),""--"",""—""),""-&gt;"",""•""),""~@"", CONCATENATE(""[i"&amp;"]"",REGEXEXTRACT(B28,""^([\s\S]*),|$""),""[/i]"")),""~"", CONCATENATE(""[i]"",B28,""[/i]"")),""(\([\s\S]*?\))"",""[i][color=#34343A]$0[/color][/i]""), ""&lt;"", ""[""), ""&gt;"", ""]""), ""[/p][p]"", ""[font_size=15]\n\n[/font_size]""), ""[br/]"", ""\n"")"),"[center][i][color=#34343A](If a Human asset has an Augmentation attached, it becomes Augmented.)[/color][/i][/center][p]When [i]Reaction Augmenter[/i] enters the battlefield, choose a combatant to attach it to.[font_size=15]\n\n[/font_size]The attached co"&amp;"mbatant gets +2/+2 and [u]brutal[/u] [i][color=#34343A](It deals combat damage before assets without brutal.)[/color][/i][font_size=15]\n\n[/font_size]Whenever the attached asset kills a combatant it permanently gets +1/+1.[/p]")</f>
        <v xml:space="preserve">[center][i][color=#34343A](If a Human asset has an Augmentation attached, it becomes Augmented.)[/color][/i][/center][p]When [i]Reaction Augmenter[/i] enters the battlefield, choose a combatant to attach it to.[font_size=15]\n\n[/font_size]The attached combatant gets +2/+2 and [u]brutal[/u] [i][color=#34343A](It deals combat damage before assets without brutal.)[/color][/i][font_size=15]\n\n[/font_size]Whenever the attached asset kills a combatant it permanently gets +1/+1.[/p]</v>
      </c>
      <c r="W28" s="6" t="str">
        <f t="shared" si="1"/>
        <v>[i]Asset[/i]</v>
      </c>
      <c r="X28" s="1" t="str">
        <f t="shared" si="2"/>
        <v>RS_MR_RY_001</v>
      </c>
      <c r="Y28" s="1"/>
    </row>
    <row r="29" ht="89.25">
      <c r="A29" s="7" t="s">
        <v>100</v>
      </c>
      <c r="B29" s="7" t="s">
        <v>101</v>
      </c>
      <c r="C29" s="12" t="s">
        <v>102</v>
      </c>
      <c r="D29" s="9" t="str">
        <f>IFERROR(__xludf.DUMMYFUNCTION("IF(ISBLANK(A29),"""",SWITCH(IF(T29="""",0,COUNTA(SPLIT(T29,"" ""))),0,""Generic"",1,TRIM(T29),2,""Multicolor"",3,""Multicolor"",4,""Multicolor"",5,""Multicolor"",6,""Multicolor"",7,""Multicolor"",8,""Multicolor""))"),"Multicolor")</f>
        <v>Multicolor</v>
      </c>
      <c r="E29" s="1"/>
      <c r="F29" s="1" t="s">
        <v>63</v>
      </c>
      <c r="H29" s="10" t="s">
        <v>37</v>
      </c>
      <c r="I29" s="18" t="s">
        <v>103</v>
      </c>
      <c r="J29" s="11"/>
      <c r="K29" s="6" t="s">
        <v>39</v>
      </c>
      <c r="L29" s="6" t="s">
        <v>39</v>
      </c>
      <c r="Q29" s="7">
        <v>60</v>
      </c>
      <c r="R29" s="7">
        <v>50</v>
      </c>
      <c r="S29" s="1" t="str">
        <f t="shared" si="0"/>
        <v>False</v>
      </c>
      <c r="T29" s="6" t="str">
        <f>IFERROR(__xludf.DUMMYFUNCTION("CONCATENATE(if(REGEXMATCH(C29,""R""),"" Red"",""""),if(REGEXMATCH(C29,""O""),"" Orange"",""""),if(REGEXMATCH(C29,""Y""),"" Yellow"",""""),if(REGEXMATCH(C29,""G""),"" Green"",""""),if(REGEXMATCH(C29,""B""),"" Blue"",""""),if(REGEXMATCH(C29,""P""),"" Purple"&amp;""",""""))")," Red Yellow")</f>
        <v xml:space="preserve">Red Yellow</v>
      </c>
      <c r="U29" s="6" t="str">
        <f>IFERROR(__xludf.DUMMYFUNCTION("TRIM(CONCAT(""[right]"", REGEXREPLACE(C29, ""([ROYGBPXZC_]|1?[0-9])"", ""[img=119]res://textures/icons/$0.png[/img]\\n"")))"),"[right][img=119]res://textures/icons/X.png[/img]\n[img=119]res://textures/icons/X.png[/img]\n[img=119]res://textures/icons/X.png[/img]\n[img=119]res://textures/icons/R.png[/img]\n[img=119]res://textures/icons/Y.png[/img]\n")</f>
        <v>[right][img=119]res://textures/icons/X.png[/img]\n[img=119]res://textures/icons/X.png[/img]\n[img=119]res://textures/icons/X.png[/img]\n[img=119]res://textures/icons/R.png[/img]\n[img=119]res://textures/icons/Y.png[/img]\n</v>
      </c>
      <c r="V29" s="1" t="str">
        <f>IFERROR(__xludf.DUMMYFUNCTION("SUBSTITUTE(SUBSTITUTE(SUBSTITUTE(SUBSTITUTE(REGEXREPLACE(SUBSTITUTE(SUBSTITUTE(SUBSTITUTE(SUBSTITUTE(REGEXREPLACE(I29, ""(\[([ROYGBPTQUXZC_]|1?[0-9])\])"", ""[img=45]res://textures/icons/$2.png[/img]""),""--"",""—""),""-&gt;"",""•""),""~@"", CONCATENATE(""[i"&amp;"]"",REGEXEXTRACT(B29,""^([\s\S]*),|$""),""[/i]"")),""~"", CONCATENATE(""[i]"",B29,""[/i]"")),""(\([\s\S]*?\))"",""[i][color=#34343A]$0[/color][/i]""), ""&lt;"", ""[""), ""&gt;"", ""]""), ""[/p][p]"", ""[font_size=15]\n\n[/font_size]""), ""[br/]"", ""\n"")"),"[p][center][u]Prepare 4 — [img=45]res://textures/icons/R.png[/img][img=45]res://textures/icons/Y.png[/img][/u] [i][color=#34343A](Pay [img=45]res://textures/icons/R.png[/img][img=45]res://textures/icons/Y.png[/img] and put [i]Angel Trafficking[/i] into yo"&amp;"ur deck fourth from the top. When you would draw [i]Angel Trafficking[/i], instead deploy it without paying its cost.)[/color][/i][/center][font_size=15]\n\n[/font_size]Choose up to [img=45]res://textures/icons/X.png[/img] [i][color=#34343A](X is 2 if you"&amp;" prepared.)[/color][/i] Human combatants; you permanently gain control of them. They become melee Augmented Gladiators with [u]Transient[/u] [i]'Vital Tracker'[/i]s attached.[/p]")</f>
        <v xml:space="preserve">[p][center][u]Prepare 4 — [img=45]res://textures/icons/R.png[/img][img=45]res://textures/icons/Y.png[/img][/u] [i][color=#34343A](Pay [img=45]res://textures/icons/R.png[/img][img=45]res://textures/icons/Y.png[/img] and put [i]Angel Trafficking[/i] into your deck fourth from the top. When you would draw [i]Angel Trafficking[/i], instead deploy it without paying its cost.)[/color][/i][/center][font_size=15]\n\n[/font_size]Choose up to [img=45]res://textures/icons/X.png[/img] [i][color=#34343A](X is 2 if you prepared.)[/color][/i] Human combatants; you permanently gain control of them. They become melee Augmented Gladiators with [u]Transient[/u] [i]'Vital Tracker'[/i]s attached.[/p]</v>
      </c>
      <c r="W29" s="6" t="str">
        <f t="shared" si="1"/>
        <v xml:space="preserve">[i]R. Effect[/i]</v>
      </c>
      <c r="X29" s="1" t="str">
        <f t="shared" si="2"/>
        <v>RS_MR_RY_002</v>
      </c>
      <c r="Y29" s="1"/>
    </row>
    <row r="30" ht="102">
      <c r="A30" s="7" t="s">
        <v>104</v>
      </c>
      <c r="B30" s="7" t="s">
        <v>105</v>
      </c>
      <c r="C30" s="12" t="s">
        <v>106</v>
      </c>
      <c r="D30" s="9" t="s">
        <v>107</v>
      </c>
      <c r="E30" s="1" t="s">
        <v>49</v>
      </c>
      <c r="F30" s="1" t="s">
        <v>56</v>
      </c>
      <c r="G30" s="1" t="s">
        <v>81</v>
      </c>
      <c r="H30" s="10" t="s">
        <v>37</v>
      </c>
      <c r="I30" s="11" t="s">
        <v>108</v>
      </c>
      <c r="J30" s="11" t="s">
        <v>109</v>
      </c>
      <c r="K30" s="7">
        <v>5</v>
      </c>
      <c r="L30" s="7">
        <v>5</v>
      </c>
      <c r="Q30" s="7">
        <v>60</v>
      </c>
      <c r="R30" s="7">
        <v>35</v>
      </c>
      <c r="S30" s="1" t="str">
        <f t="shared" si="0"/>
        <v>True</v>
      </c>
      <c r="T30" s="7" t="s">
        <v>110</v>
      </c>
      <c r="U30" s="6" t="str">
        <f>IFERROR(__xludf.DUMMYFUNCTION("TRIM(CONCAT(""[right]"", REGEXREPLACE(C30, ""([ROYGBPXZC_]|1?[0-9])"", ""[img=119]res://textures/icons/$0.png[/img]\\n"")))"),"[right][img=119]res://textures/icons/3.png[/img]\n[img=119]res://textures/icons/_.png[/img]\n[img=119]res://textures/icons/_.png[/img]\n")</f>
        <v>[right][img=119]res://textures/icons/3.png[/img]\n[img=119]res://textures/icons/_.png[/img]\n[img=119]res://textures/icons/_.png[/img]\n</v>
      </c>
      <c r="V30" s="1" t="str">
        <f>IFERROR(__xludf.DUMMYFUNCTION("SUBSTITUTE(SUBSTITUTE(SUBSTITUTE(SUBSTITUTE(REGEXREPLACE(SUBSTITUTE(SUBSTITUTE(SUBSTITUTE(SUBSTITUTE(REGEXREPLACE(I30, ""(\[([ROYGBPTQUXZC_]|1?[0-9])\])"", ""[img=45]res://textures/icons/$2.png[/img]""),""--"",""—""),""-&gt;"",""•""),""~@"", CONCATENATE(""[i"&amp;"]"",REGEXEXTRACT(B30,""^([\s\S]*),|$""),""[/i]"")),""~"", CONCATENATE(""[i]"",B30,""[/i]"")),""(\([\s\S]*?\))"",""[i][color=#34343A]$0[/color][/i]""), ""&lt;"", ""[""), ""&gt;"", ""]""), ""[/p][p]"", ""[font_size=15]\n\n[/font_size]""), ""[br/]"", ""\n"")"),"[center][i][color=#34343A](Becomes [i]'Blossom's Rise'[/i] if you already control [i]Hana Shintsuu[/i]. [img=45]res://textures/icons/_.png[/img] can be paid with either [img=45]res://textures/icons/R.png[/img] or [img=45]res://textures/icons/Y.png[/img].)"&amp;"[/color][/i][/center][p][i]Hana Shintsuu[/i] enters the battlefield with your choice of [u]brutal[/u] [i][color=#34343A]([i]Hana Shintsuu[/i] deals combat damage before assets without brutal.)[/color][/i] or [u]armed — 'Angel's Katana'[/u] [i][color=#3434"&amp;"3A]([i]Hana Shintsuu[/i] enters the battlefield with a transient [i]'Angel's Katana'[/i] attached to it.)[/color][/i][font_size=15]\n\n[/font_size]Whenever a Gladiator attacks you may deploy a Style card from your discard choosing it.[/p]")</f>
        <v xml:space="preserve">[center][i][color=#34343A](Becomes [i]'Blossom's Rise'[/i] if you already control [i]Hana Shintsuu[/i]. [img=45]res://textures/icons/_.png[/img] can be paid with either [img=45]res://textures/icons/R.png[/img] or [img=45]res://textures/icons/Y.png[/img].)[/color][/i][/center][p][i]Hana Shintsuu[/i] enters the battlefield with your choice of [u]brutal[/u] [i][color=#34343A]([i]Hana Shintsuu[/i] deals combat damage before assets without brutal.)[/color][/i] or [u]armed — 'Angel's Katana'[/u] [i][color=#34343A]([i]Hana Shintsuu[/i] enters the battlefield with a transient [i]'Angel's Katana'[/i] attached to it.)[/color][/i][font_size=15]\n\n[/font_size]Whenever a Gladiator attacks you may deploy a Style card from your discard choosing it.[/p]</v>
      </c>
      <c r="W30" s="6" t="str">
        <f t="shared" si="1"/>
        <v xml:space="preserve">[i]R. Asset[/i]</v>
      </c>
      <c r="X30" s="1" t="str">
        <f t="shared" si="2"/>
        <v>RS_MR_RY_003</v>
      </c>
      <c r="Y30" s="1"/>
    </row>
    <row r="31" ht="102">
      <c r="A31" s="7" t="s">
        <v>111</v>
      </c>
      <c r="B31" s="7" t="s">
        <v>112</v>
      </c>
      <c r="C31" s="12" t="s">
        <v>113</v>
      </c>
      <c r="D31" s="9" t="s">
        <v>107</v>
      </c>
      <c r="E31" s="1"/>
      <c r="F31" s="1" t="s">
        <v>63</v>
      </c>
      <c r="G31" s="7" t="s">
        <v>114</v>
      </c>
      <c r="H31" s="10" t="s">
        <v>28</v>
      </c>
      <c r="I31" s="11" t="s">
        <v>115</v>
      </c>
      <c r="J31" s="11" t="s">
        <v>116</v>
      </c>
      <c r="O31" s="11"/>
      <c r="Q31" s="7">
        <v>60</v>
      </c>
      <c r="R31" s="7">
        <v>50</v>
      </c>
      <c r="S31" s="1" t="str">
        <f t="shared" si="0"/>
        <v>False</v>
      </c>
      <c r="T31" s="6" t="str">
        <f>IFERROR(__xludf.DUMMYFUNCTION("CONCATENATE(if(REGEXMATCH(C31,""R""),"" Red"",""""),if(REGEXMATCH(C31,""O""),"" Orange"",""""),if(REGEXMATCH(C31,""Y""),"" Yellow"",""""),if(REGEXMATCH(C31,""G""),"" Green"",""""),if(REGEXMATCH(C31,""B""),"" Blue"",""""),if(REGEXMATCH(C31,""P""),"" Purple"&amp;""",""""))")," Red Yellow")</f>
        <v xml:space="preserve">Red Yellow</v>
      </c>
      <c r="U31" s="6" t="str">
        <f>IFERROR(__xludf.DUMMYFUNCTION("TRIM(CONCAT(""[right]"", REGEXREPLACE(C31, ""([ROYGBPXZC_]|1?[0-9])"", ""[img=119]res://textures/icons/$0.png[/img]\\n"")))"),"[right][img=119]res://textures/icons/3.png[/img]\n[img=119]res://textures/icons/R.png[/img]\n[img=119]res://textures/icons/R.png[/img]\n[img=119]res://textures/icons/Y.png[/img]\n[img=119]res://textures/icons/Y.png[/img]\n")</f>
        <v>[right][img=119]res://textures/icons/3.png[/img]\n[img=119]res://textures/icons/R.png[/img]\n[img=119]res://textures/icons/R.png[/img]\n[img=119]res://textures/icons/Y.png[/img]\n[img=119]res://textures/icons/Y.png[/img]\n</v>
      </c>
      <c r="V31" s="1" t="str">
        <f>IFERROR(__xludf.DUMMYFUNCTION("SUBSTITUTE(SUBSTITUTE(SUBSTITUTE(SUBSTITUTE(REGEXREPLACE(SUBSTITUTE(SUBSTITUTE(SUBSTITUTE(SUBSTITUTE(REGEXREPLACE(I31, ""(\[([ROYGBPTQUXZC_]|1?[0-9])\])"", ""[img=45]res://textures/icons/$2.png[/img]""),""--"",""—""),""-&gt;"",""•""),""~@"", CONCATENATE(""[i"&amp;"]"",REGEXEXTRACT(B31,""^([\s\S]*),|$""),""[/i]"")),""~"", CONCATENATE(""[i]"",B31,""[/i]"")),""(\([\s\S]*?\))"",""[i][color=#34343A]$0[/color][/i]""), ""&lt;"", ""[""), ""&gt;"", ""]""), ""[/p][p]"", ""[font_size=15]\n\n[/font_size]""), ""[br/]"", ""\n"")"),"[center][i][color=#34343A](This effect can only be deployed if you control a renowned asset. Banked energy can't be spent to deploy renowned cards.)[/color][/i]\n[u]Retribution[/u] [i][color=#34343A](When you draw [i]Blossom's Rise[/i] as a result of taki"&amp;"ng damage, you may deploy it without paying its cost.)[/color][/i][/center][p]Kill a combatant of your choice, then add energy to your bank equal to its cost [i][color=#34343A](including energy type.)[/color][/i][font_size=15]\n\n[/font_size][u]Personal[/"&amp;"u] [i][color=#34343A](Shuffle [i]'Hana Shintsuu'[/i] into your deck.)[/color][/i][/p]")</f>
        <v xml:space="preserve">[center][i][color=#34343A](This effect can only be deployed if you control a renowned asset. Banked energy can't be spent to deploy renowned cards.)[/color][/i]\n[u]Retribution[/u] [i][color=#34343A](When you draw [i]Blossom's Rise[/i] as a result of taking damage, you may deploy it without paying its cost.)[/color][/i][/center][p]Kill a combatant of your choice, then add energy to your bank equal to its cost [i][color=#34343A](including energy type.)[/color][/i][font_size=15]\n\n[/font_size][u]Personal[/u] [i][color=#34343A](Shuffle [i]'Hana Shintsuu'[/i] into your deck.)[/color][/i][/p]</v>
      </c>
      <c r="W31" s="6" t="str">
        <f t="shared" si="1"/>
        <v xml:space="preserve">[i]R. Effect[/i]</v>
      </c>
      <c r="X31" s="1" t="str">
        <f t="shared" si="2"/>
        <v>RS_MR_RY_003b</v>
      </c>
      <c r="Y31" s="1"/>
    </row>
    <row r="32" ht="63.75">
      <c r="A32" s="7" t="s">
        <v>117</v>
      </c>
      <c r="B32" s="7" t="s">
        <v>118</v>
      </c>
      <c r="C32" s="12" t="s">
        <v>87</v>
      </c>
      <c r="D32" s="9" t="str">
        <f>IFERROR(__xludf.DUMMYFUNCTION("IF(ISBLANK(A32),"""",SWITCH(IF(T32="""",0,COUNTA(SPLIT(T32,"" ""))),0,""Generic"",1,TRIM(T32),2,""Multicolor"",3,""Multicolor"",4,""Multicolor"",5,""Multicolor"",6,""Multicolor"",7,""Multicolor"",8,""Multicolor""))"),"Multicolor")</f>
        <v>Multicolor</v>
      </c>
      <c r="E32" s="1"/>
      <c r="F32" s="1" t="s">
        <v>35</v>
      </c>
      <c r="G32" s="7" t="s">
        <v>119</v>
      </c>
      <c r="H32" s="10" t="s">
        <v>58</v>
      </c>
      <c r="I32" s="11" t="s">
        <v>120</v>
      </c>
      <c r="J32" s="11"/>
      <c r="K32" s="6" t="s">
        <v>39</v>
      </c>
      <c r="L32" s="6" t="s">
        <v>39</v>
      </c>
      <c r="O32" s="11"/>
      <c r="Q32" s="7">
        <v>45</v>
      </c>
      <c r="R32" s="7">
        <v>50</v>
      </c>
      <c r="S32" s="1" t="str">
        <f t="shared" si="0"/>
        <v>False</v>
      </c>
      <c r="T32" s="6" t="str">
        <f>IFERROR(__xludf.DUMMYFUNCTION("CONCATENATE(if(REGEXMATCH(C32,""R""),"" Red"",""""),if(REGEXMATCH(C32,""O""),"" Orange"",""""),if(REGEXMATCH(C32,""Y""),"" Yellow"",""""),if(REGEXMATCH(C32,""G""),"" Green"",""""),if(REGEXMATCH(C32,""B""),"" Blue"",""""),if(REGEXMATCH(C32,""P""),"" Purple"&amp;""",""""))")," Red Yellow")</f>
        <v xml:space="preserve">Red Yellow</v>
      </c>
      <c r="U32" s="6" t="str">
        <f>IFERROR(__xludf.DUMMYFUNCTION("TRIM(CONCAT(""[right]"", REGEXREPLACE(C32, ""([ROYGBPXZC_]|1?[0-9])"", ""[img=119]res://textures/icons/$0.png[/img]\\n"")))"),"[right][img=119]res://textures/icons/R.png[/img]\n[img=119]res://textures/icons/Y.png[/img]\n")</f>
        <v>[right][img=119]res://textures/icons/R.png[/img]\n[img=119]res://textures/icons/Y.png[/img]\n</v>
      </c>
      <c r="V32" s="1" t="str">
        <f>IFERROR(__xludf.DUMMYFUNCTION("SUBSTITUTE(SUBSTITUTE(SUBSTITUTE(SUBSTITUTE(REGEXREPLACE(SUBSTITUTE(SUBSTITUTE(SUBSTITUTE(SUBSTITUTE(REGEXREPLACE(I32, ""(\[([ROYGBPTQUXZC_]|1?[0-9])\])"", ""[img=45]res://textures/icons/$2.png[/img]""),""--"",""—""),""-&gt;"",""•""),""~@"", CONCATENATE(""[i"&amp;"]"",REGEXEXTRACT(B32,""^([\s\S]*),|$""),""[/i]"")),""~"", CONCATENATE(""[i]"",B32,""[/i]"")),""(\([\s\S]*?\))"",""[i][color=#34343A]$0[/color][/i]""), ""&lt;"", ""[""), ""&gt;"", ""]""), ""[/p][p]"", ""[font_size=15]\n\n[/font_size]""), ""[br/]"", ""\n"")"),"Choose a melee combatant you control; until end of turn, it gets +2/+3 and [u]brutal[/u] [i][color=#34343A](It deals combat damage before assets without brutal.)[/color][/i]. Choose a combatant an opponent controls with equal or lesser generalized cost; i"&amp;"t becomes exhausted and, until end of turn, gets -3/-2.")</f>
        <v xml:space="preserve">Choose a melee combatant you control; until end of turn, it gets +2/+3 and [u]brutal[/u] [i][color=#34343A](It deals combat damage before assets without brutal.)[/color][/i]. Choose a combatant an opponent controls with equal or lesser generalized cost; it becomes exhausted and, until end of turn, gets -3/-2.</v>
      </c>
      <c r="W32" s="6" t="str">
        <f t="shared" si="1"/>
        <v>[i]Effect[/i]</v>
      </c>
      <c r="X32" s="1" t="str">
        <f t="shared" si="2"/>
        <v>RS_MU_RY_001</v>
      </c>
      <c r="Y32" s="1"/>
    </row>
    <row r="33" ht="89.25">
      <c r="A33" s="7" t="s">
        <v>121</v>
      </c>
      <c r="B33" s="7" t="s">
        <v>122</v>
      </c>
      <c r="C33" s="12" t="s">
        <v>123</v>
      </c>
      <c r="D33" s="9" t="str">
        <f>IFERROR(__xludf.DUMMYFUNCTION("IF(ISBLANK(A33),"""",SWITCH(IF(T33="""",0,COUNTA(SPLIT(T33,"" ""))),0,""Generic"",1,TRIM(T33),2,""Multicolor"",3,""Multicolor"",4,""Multicolor"",5,""Multicolor"",6,""Multicolor"",7,""Multicolor"",8,""Multicolor""))"),"Multicolor")</f>
        <v>Multicolor</v>
      </c>
      <c r="E33" s="1"/>
      <c r="F33" s="1" t="s">
        <v>56</v>
      </c>
      <c r="G33" s="7" t="s">
        <v>124</v>
      </c>
      <c r="H33" s="10" t="s">
        <v>70</v>
      </c>
      <c r="I33" s="11" t="s">
        <v>125</v>
      </c>
      <c r="J33" s="11" t="s">
        <v>126</v>
      </c>
      <c r="K33" s="6" t="s">
        <v>39</v>
      </c>
      <c r="L33" s="6" t="s">
        <v>39</v>
      </c>
      <c r="Q33" s="7">
        <v>45</v>
      </c>
      <c r="R33" s="7">
        <v>50</v>
      </c>
      <c r="S33" s="1" t="str">
        <f t="shared" si="0"/>
        <v>False</v>
      </c>
      <c r="T33" s="6" t="str">
        <f>IFERROR(__xludf.DUMMYFUNCTION("CONCATENATE(if(REGEXMATCH(C33,""R""),"" Red"",""""),if(REGEXMATCH(C33,""O""),"" Orange"",""""),if(REGEXMATCH(C33,""Y""),"" Yellow"",""""),if(REGEXMATCH(C33,""G""),"" Green"",""""),if(REGEXMATCH(C33,""B""),"" Blue"",""""),if(REGEXMATCH(C33,""P""),"" Purple"&amp;""",""""))")," Red Yellow")</f>
        <v xml:space="preserve">Red Yellow</v>
      </c>
      <c r="U33" s="6" t="str">
        <f>IFERROR(__xludf.DUMMYFUNCTION("TRIM(CONCAT(""[right]"", REGEXREPLACE(C33, ""([ROYGBPXZC_]|1?[0-9])"", ""[img=119]res://textures/icons/$0.png[/img]\\n"")))"),"[right][img=119]res://textures/icons/3.png[/img]\n[img=119]res://textures/icons/R.png[/img]\n[img=119]res://textures/icons/Y.png[/img]\n")</f>
        <v>[right][img=119]res://textures/icons/3.png[/img]\n[img=119]res://textures/icons/R.png[/img]\n[img=119]res://textures/icons/Y.png[/img]\n</v>
      </c>
      <c r="V33" s="1" t="str">
        <f>IFERROR(__xludf.DUMMYFUNCTION("SUBSTITUTE(SUBSTITUTE(SUBSTITUTE(SUBSTITUTE(REGEXREPLACE(SUBSTITUTE(SUBSTITUTE(SUBSTITUTE(SUBSTITUTE(REGEXREPLACE(I33, ""(\[([ROYGBPTQUXZC_]|1?[0-9])\])"", ""[img=45]res://textures/icons/$2.png[/img]""),""--"",""—""),""-&gt;"",""•""),""~@"", CONCATENATE(""[i"&amp;"]"",REGEXEXTRACT(B33,""^([\s\S]*),|$""),""[/i]"")),""~"", CONCATENATE(""[i]"",B33,""[/i]"")),""(\([\s\S]*?\))"",""[i][color=#34343A]$0[/color][/i]""), ""&lt;"", ""[""), ""&gt;"", ""]""), ""[/p][p]"", ""[font_size=15]\n\n[/font_size]""), ""[br/]"", ""\n"")"),"[center]Each time [i]Angel Pit Announcer[/i] has seen 3 combatants die, you may search your deck for a style card, put it into your discard, then shuffle your deck.[/center]")</f>
        <v xml:space="preserve">[center]Each time [i]Angel Pit Announcer[/i] has seen 3 combatants die, you may search your deck for a style card, put it into your discard, then shuffle your deck.[/center]</v>
      </c>
      <c r="W33" s="6" t="str">
        <f t="shared" si="1"/>
        <v xml:space="preserve">[i]R. Asset[/i]</v>
      </c>
      <c r="X33" s="1" t="str">
        <f t="shared" si="2"/>
        <v>RS_MU_RY_004</v>
      </c>
      <c r="Y33" s="1"/>
    </row>
    <row r="34" ht="102">
      <c r="A34" s="7" t="s">
        <v>127</v>
      </c>
      <c r="B34" s="7" t="s">
        <v>128</v>
      </c>
      <c r="C34" s="12" t="s">
        <v>87</v>
      </c>
      <c r="D34" s="9" t="str">
        <f>IFERROR(__xludf.DUMMYFUNCTION("IF(ISBLANK(A34),"""",SWITCH(IF(T34="""",0,COUNTA(SPLIT(T34,"" ""))),0,""Generic"",1,TRIM(T34),2,""Multicolor"",3,""Multicolor"",4,""Multicolor"",5,""Multicolor"",6,""Multicolor"",7,""Multicolor"",8,""Multicolor""))"),"Multicolor")</f>
        <v>Multicolor</v>
      </c>
      <c r="E34" s="1"/>
      <c r="F34" s="1" t="s">
        <v>35</v>
      </c>
      <c r="G34" s="7" t="s">
        <v>129</v>
      </c>
      <c r="H34" s="10" t="s">
        <v>58</v>
      </c>
      <c r="I34" s="18" t="s">
        <v>130</v>
      </c>
      <c r="J34" s="11"/>
      <c r="K34" s="6" t="s">
        <v>39</v>
      </c>
      <c r="L34" s="6" t="s">
        <v>39</v>
      </c>
      <c r="O34" s="7" t="s">
        <v>131</v>
      </c>
      <c r="Q34" s="7">
        <v>45</v>
      </c>
      <c r="R34" s="7">
        <v>50</v>
      </c>
      <c r="S34" s="1" t="str">
        <f t="shared" si="0"/>
        <v>False</v>
      </c>
      <c r="T34" s="6" t="str">
        <f>IFERROR(__xludf.DUMMYFUNCTION("CONCATENATE(if(REGEXMATCH(C34,""R""),"" Red"",""""),if(REGEXMATCH(C34,""O""),"" Orange"",""""),if(REGEXMATCH(C34,""Y""),"" Yellow"",""""),if(REGEXMATCH(C34,""G""),"" Green"",""""),if(REGEXMATCH(C34,""B""),"" Blue"",""""),if(REGEXMATCH(C34,""P""),"" Purple"&amp;""",""""))")," Red Yellow")</f>
        <v xml:space="preserve">Red Yellow</v>
      </c>
      <c r="U34" s="6" t="str">
        <f>IFERROR(__xludf.DUMMYFUNCTION("TRIM(CONCAT(""[right]"", REGEXREPLACE(C34, ""([ROYGBPXZC_]|1?[0-9])"", ""[img=119]res://textures/icons/$0.png[/img]\\n"")))"),"[right][img=119]res://textures/icons/R.png[/img]\n[img=119]res://textures/icons/Y.png[/img]\n")</f>
        <v>[right][img=119]res://textures/icons/R.png[/img]\n[img=119]res://textures/icons/Y.png[/img]\n</v>
      </c>
      <c r="V34" s="1" t="str">
        <f>IFERROR(__xludf.DUMMYFUNCTION("SUBSTITUTE(SUBSTITUTE(SUBSTITUTE(SUBSTITUTE(REGEXREPLACE(SUBSTITUTE(SUBSTITUTE(SUBSTITUTE(SUBSTITUTE(REGEXREPLACE(I34, ""(\[([ROYGBPTQUXZC_]|1?[0-9])\])"", ""[img=45]res://textures/icons/$2.png[/img]""),""--"",""—""),""-&gt;"",""•""),""~@"", CONCATENATE(""[i"&amp;"]"",REGEXEXTRACT(B34,""^([\s\S]*),|$""),""[/i]"")),""~"", CONCATENATE(""[i]"",B34,""[/i]"")),""(\([\s\S]*?\))"",""[i][color=#34343A]$0[/color][/i]""), ""&lt;"", ""[""), ""&gt;"", ""]""), ""[/p][p]"", ""[font_size=15]\n\n[/font_size]""), ""[br/]"", ""\n"")"),"[center][u]Append to Opponent's Effect [img=45]res://textures/icons/R.png[/img][img=45]res://textures/icons/Y.png[/img][/u] [i][color=#34343A](As an opponent deploys an effect you may reveal [i]Pindown the Opponent[/i] and pay [img=45]res://textures/icons"&amp;"/R.png[/img][img=45]res://textures/icons/Y.png[/img]. If you do add this card's effects as it resolves; it loses those effects once it leaves the stack.)[/color][/i][/center][p]Choose a combatant you control and another you don't control; the combatant yo"&amp;"u don't control is exhausted and can't be refreshed as long as the combatant you control remains on the battlefield.[/p]")</f>
        <v xml:space="preserve">[center][u]Append to Opponent's Effect [img=45]res://textures/icons/R.png[/img][img=45]res://textures/icons/Y.png[/img][/u] [i][color=#34343A](As an opponent deploys an effect you may reveal [i]Pindown the Opponent[/i] and pay [img=45]res://textures/icons/R.png[/img][img=45]res://textures/icons/Y.png[/img]. If you do add this card's effects as it resolves; it loses those effects once it leaves the stack.)[/color][/i][/center][p]Choose a combatant you control and another you don't control; the combatant you don't control is exhausted and can't be refreshed as long as the combatant you control remains on the battlefield.[/p]</v>
      </c>
      <c r="W34" s="6" t="str">
        <f t="shared" si="1"/>
        <v>[i]Effect[/i]</v>
      </c>
      <c r="X34" s="1" t="str">
        <f t="shared" si="2"/>
        <v>RS_MU_RY_002</v>
      </c>
      <c r="Y34" s="1"/>
    </row>
    <row r="35" ht="102">
      <c r="A35" s="14" t="s">
        <v>132</v>
      </c>
      <c r="B35" s="7" t="s">
        <v>133</v>
      </c>
      <c r="C35" s="12" t="s">
        <v>79</v>
      </c>
      <c r="D35" s="9" t="str">
        <f>IFERROR(__xludf.DUMMYFUNCTION("IF(ISBLANK(A35),"""",SWITCH(IF(T35="""",0,COUNTA(SPLIT(T35,"" ""))),0,""Generic"",1,TRIM(T35),2,""Multicolor"",3,""Multicolor"",4,""Multicolor"",5,""Multicolor"",6,""Multicolor"",7,""Multicolor"",8,""Multicolor""))"),"Multicolor")</f>
        <v>Multicolor</v>
      </c>
      <c r="E35" s="1"/>
      <c r="F35" s="1" t="s">
        <v>35</v>
      </c>
      <c r="G35" s="7" t="s">
        <v>134</v>
      </c>
      <c r="H35" s="10" t="s">
        <v>70</v>
      </c>
      <c r="I35" s="11" t="s">
        <v>135</v>
      </c>
      <c r="J35" s="11"/>
      <c r="K35" s="6" t="s">
        <v>39</v>
      </c>
      <c r="L35" s="6" t="s">
        <v>39</v>
      </c>
      <c r="Q35" s="7">
        <v>45</v>
      </c>
      <c r="R35" s="7">
        <v>35</v>
      </c>
      <c r="S35" s="1" t="str">
        <f t="shared" si="0"/>
        <v>False</v>
      </c>
      <c r="T35" s="6" t="str">
        <f>IFERROR(__xludf.DUMMYFUNCTION("CONCATENATE(if(REGEXMATCH(C35,""R""),"" Red"",""""),if(REGEXMATCH(C35,""O""),"" Orange"",""""),if(REGEXMATCH(C35,""Y""),"" Yellow"",""""),if(REGEXMATCH(C35,""G""),"" Green"",""""),if(REGEXMATCH(C35,""B""),"" Blue"",""""),if(REGEXMATCH(C35,""P""),"" Purple"&amp;""",""""))")," Red Yellow")</f>
        <v xml:space="preserve">Red Yellow</v>
      </c>
      <c r="U35" s="6" t="str">
        <f>IFERROR(__xludf.DUMMYFUNCTION("TRIM(CONCAT(""[right]"", REGEXREPLACE(C35, ""([ROYGBPXZC_]|1?[0-9])"", ""[img=119]res://textures/icons/$0.png[/img]\\n"")))"),"[right][img=119]res://textures/icons/1.png[/img]\n[img=119]res://textures/icons/R.png[/img]\n[img=119]res://textures/icons/Y.png[/img]\n")</f>
        <v>[right][img=119]res://textures/icons/1.png[/img]\n[img=119]res://textures/icons/R.png[/img]\n[img=119]res://textures/icons/Y.png[/img]\n</v>
      </c>
      <c r="V35" s="1" t="str">
        <f>IFERROR(__xludf.DUMMYFUNCTION("SUBSTITUTE(SUBSTITUTE(SUBSTITUTE(SUBSTITUTE(REGEXREPLACE(SUBSTITUTE(SUBSTITUTE(SUBSTITUTE(SUBSTITUTE(REGEXREPLACE(I35, ""(\[([ROYGBPTQUXZC_]|1?[0-9])\])"", ""[img=45]res://textures/icons/$2.png[/img]""),""--"",""—""),""-&gt;"",""•""),""~@"", CONCATENATE(""[i"&amp;"]"",REGEXEXTRACT(B35,""^([\s\S]*),|$""),""[/i]"")),""~"", CONCATENATE(""[i]"",B35,""[/i]"")),""(\([\s\S]*?\))"",""[i][color=#34343A]$0[/color][/i]""), ""&lt;"", ""[""), ""&gt;"", ""]""), ""[/p][p]"", ""[font_size=15]\n\n[/font_size]""), ""[br/]"", ""\n"")"),"[p]Choose a melee combatant; until end of turn, it gains [u]permanence[/u].[font_size=15]\n\n[/font_size][ul][i]Brutalize Them[/i] — Then choose another combatant; The first deals damage equal to its attack power to the second, then the second gains [u]bl"&amp;"eeding[/u] [i][color=#34343A](At the end of its owner's turn the specified asset permanently loses 1 health.)[/color][/i].\n[i]Walk Away[/i] — That combatant permanently gains +0/+1, draw 2 cards, then your commander loses 2 loyalty.[/ul][/p]")</f>
        <v xml:space="preserve">[p]Choose a melee combatant; until end of turn, it gains [u]permanence[/u].[font_size=15]\n\n[/font_size][ul][i]Brutalize Them[/i] — Then choose another combatant; The first deals damage equal to its attack power to the second, then the second gains [u]bleeding[/u] [i][color=#34343A](At the end of its owner's turn the specified asset permanently loses 1 health.)[/color][/i].\n[i]Walk Away[/i] — That combatant permanently gains +0/+1, draw 2 cards, then your commander loses 2 loyalty.[/ul][/p]</v>
      </c>
      <c r="W35" s="6" t="str">
        <f t="shared" si="1"/>
        <v>[i]Effect[/i]</v>
      </c>
      <c r="X35" s="1" t="str">
        <f t="shared" si="2"/>
        <v>RS_MU_RY_003</v>
      </c>
      <c r="Y35" s="1"/>
    </row>
    <row r="36" ht="38.25">
      <c r="A36" s="1" t="s">
        <v>136</v>
      </c>
      <c r="B36" s="1" t="s">
        <v>137</v>
      </c>
      <c r="C36" s="2" t="s">
        <v>138</v>
      </c>
      <c r="D36" s="9" t="str">
        <f>IFERROR(__xludf.DUMMYFUNCTION("IF(ISBLANK(A36),"""",SWITCH(IF(T36="""",0,COUNTA(SPLIT(T36,"" ""))),0,""Generic"",1,TRIM(T36),2,""Multicolor"",3,""Multicolor"",4,""Multicolor"",5,""Multicolor"",6,""Multicolor"",7,""Multicolor"",8,""Multicolor""))"),"Red")</f>
        <v>Red</v>
      </c>
      <c r="E36" s="1"/>
      <c r="F36" s="1" t="s">
        <v>35</v>
      </c>
      <c r="G36" s="1" t="s">
        <v>129</v>
      </c>
      <c r="H36" s="3" t="s">
        <v>58</v>
      </c>
      <c r="I36" s="4" t="s">
        <v>139</v>
      </c>
      <c r="J36" s="1"/>
      <c r="K36" s="1" t="s">
        <v>39</v>
      </c>
      <c r="L36" s="1" t="s">
        <v>39</v>
      </c>
      <c r="M36" s="1"/>
      <c r="O36" s="1" t="s">
        <v>140</v>
      </c>
      <c r="Q36" s="16">
        <v>45</v>
      </c>
      <c r="R36" s="16">
        <v>50</v>
      </c>
      <c r="S36" s="1" t="str">
        <f t="shared" si="0"/>
        <v>False</v>
      </c>
      <c r="T36" s="6" t="str">
        <f>IFERROR(__xludf.DUMMYFUNCTION("CONCATENATE(if(REGEXMATCH(C36,""R""),"" Red"",""""),if(REGEXMATCH(C36,""O""),"" Orange"",""""),if(REGEXMATCH(C36,""Y""),"" Yellow"",""""),if(REGEXMATCH(C36,""G""),"" Green"",""""),if(REGEXMATCH(C36,""B""),"" Blue"",""""),if(REGEXMATCH(C36,""P""),"" Purple"&amp;""",""""))")," Red")</f>
        <v>Red</v>
      </c>
      <c r="U36" s="6" t="str">
        <f>IFERROR(__xludf.DUMMYFUNCTION("TRIM(CONCAT(""[right]"", REGEXREPLACE(C36, ""([ROYGBPXZC_]|1?[0-9])"", ""[img=119]res://textures/icons/$0.png[/img]\\n"")))"),"[right][img=119]res://textures/icons/1.png[/img]\n[img=119]res://textures/icons/R.png[/img]\n[img=119]res://textures/icons/R.png[/img]\n")</f>
        <v>[right][img=119]res://textures/icons/1.png[/img]\n[img=119]res://textures/icons/R.png[/img]\n[img=119]res://textures/icons/R.png[/img]\n</v>
      </c>
      <c r="V36" s="1" t="str">
        <f>IFERROR(__xludf.DUMMYFUNCTION("SUBSTITUTE(SUBSTITUTE(SUBSTITUTE(SUBSTITUTE(REGEXREPLACE(SUBSTITUTE(SUBSTITUTE(SUBSTITUTE(SUBSTITUTE(REGEXREPLACE(I36, ""(\[([ROYGBPTQUXZC_]|1?[0-9])\])"", ""[img=45]res://textures/icons/$2.png[/img]""),""--"",""—""),""-&gt;"",""•""),""~@"", CONCATENATE(""[i"&amp;"]"",REGEXEXTRACT(B36,""^([\s\S]*),|$""),""[/i]"")),""~"", CONCATENATE(""[i]"",B36,""[/i]"")),""(\([\s\S]*?\))"",""[i][color=#34343A]$0[/color][/i]""), ""&lt;"", ""[""), ""&gt;"", ""]""), ""[/p][p]"", ""[font_size=15]\n\n[/font_size]""), ""[br/]"", ""\n"")"),"[p][i]Overexposed Finishing Blow[/i] costs [img=45]res://textures/icons/1.png[/img] less if you didn't go first.[font_size=15]\n\n[/font_size]Choose a melee combatant; until end of turn, it both deals and takes double damage.[/p]")</f>
        <v xml:space="preserve">[p][i]Overexposed Finishing Blow[/i] costs [img=45]res://textures/icons/1.png[/img] less if you didn't go first.[font_size=15]\n\n[/font_size]Choose a melee combatant; until end of turn, it both deals and takes double damage.[/p]</v>
      </c>
      <c r="W36" s="6" t="str">
        <f t="shared" si="1"/>
        <v>[i]Effect[/i]</v>
      </c>
      <c r="X36" s="1" t="str">
        <f t="shared" si="2"/>
        <v>RS_RU_001</v>
      </c>
      <c r="Y36" s="1"/>
    </row>
    <row r="37" ht="89.25">
      <c r="A37" s="7" t="s">
        <v>141</v>
      </c>
      <c r="B37" s="7" t="s">
        <v>142</v>
      </c>
      <c r="C37" s="12" t="s">
        <v>143</v>
      </c>
      <c r="D37" s="9" t="str">
        <f>IFERROR(__xludf.DUMMYFUNCTION("IF(ISBLANK(A37),"""",SWITCH(IF(T37="""",0,COUNTA(SPLIT(T37,"" ""))),0,""Generic"",1,TRIM(T37),2,""Multicolor"",3,""Multicolor"",4,""Multicolor"",5,""Multicolor"",6,""Multicolor"",7,""Multicolor"",8,""Multicolor""))"),"Yellow")</f>
        <v>Yellow</v>
      </c>
      <c r="E37" s="1"/>
      <c r="F37" s="1" t="s">
        <v>35</v>
      </c>
      <c r="G37" s="7" t="s">
        <v>119</v>
      </c>
      <c r="H37" s="10" t="s">
        <v>144</v>
      </c>
      <c r="I37" s="11" t="s">
        <v>145</v>
      </c>
      <c r="J37" s="11"/>
      <c r="K37" s="6" t="s">
        <v>39</v>
      </c>
      <c r="L37" s="6" t="s">
        <v>39</v>
      </c>
      <c r="Q37" s="7">
        <v>60</v>
      </c>
      <c r="R37" s="7">
        <v>50</v>
      </c>
      <c r="S37" s="1" t="str">
        <f t="shared" si="0"/>
        <v>False</v>
      </c>
      <c r="T37" s="6" t="str">
        <f>IFERROR(__xludf.DUMMYFUNCTION("CONCATENATE(if(REGEXMATCH(C37,""R""),"" Red"",""""),if(REGEXMATCH(C37,""O""),"" Orange"",""""),if(REGEXMATCH(C37,""Y""),"" Yellow"",""""),if(REGEXMATCH(C37,""G""),"" Green"",""""),if(REGEXMATCH(C37,""B""),"" Blue"",""""),if(REGEXMATCH(C37,""P""),"" Purple"&amp;""",""""))")," Yellow")</f>
        <v>Yellow</v>
      </c>
      <c r="U37" s="6" t="str">
        <f>IFERROR(__xludf.DUMMYFUNCTION("TRIM(CONCAT(""[right]"", REGEXREPLACE(C37, ""([ROYGBPXZC_]|1?[0-9])"", ""[img=119]res://textures/icons/$0.png[/img]\\n"")))"),"[right][img=119]res://textures/icons/1.png[/img]\n[img=119]res://textures/icons/Y.png[/img]\n")</f>
        <v>[right][img=119]res://textures/icons/1.png[/img]\n[img=119]res://textures/icons/Y.png[/img]\n</v>
      </c>
      <c r="V37" s="1" t="str">
        <f>IFERROR(__xludf.DUMMYFUNCTION("SUBSTITUTE(SUBSTITUTE(SUBSTITUTE(SUBSTITUTE(REGEXREPLACE(SUBSTITUTE(SUBSTITUTE(SUBSTITUTE(SUBSTITUTE(REGEXREPLACE(I37, ""(\[([ROYGBPTQUXZC_]|1?[0-9])\])"", ""[img=45]res://textures/icons/$2.png[/img]""),""--"",""—""),""-&gt;"",""•""),""~@"", CONCATENATE(""[i"&amp;"]"",REGEXEXTRACT(B37,""^([\s\S]*),|$""),""[/i]"")),""~"", CONCATENATE(""[i]"",B37,""[/i]"")),""(\([\s\S]*?\))"",""[i][color=#34343A]$0[/color][/i]""), ""&lt;"", ""[""), ""&gt;"", ""]""), ""[/p][p]"", ""[font_size=15]\n\n[/font_size]""), ""[br/]"", ""\n"")"),"[p]Choose an explicitly Female, melee combatant; until end of turn, it gets +4/-2.[font_size=15]\n\n[/font_size]If [i]High Kick[/i] is deployed during combat, after interceptors have been declared, until end of turn, gain control of a [u]Male[/u] [i][colo"&amp;"r=#34343A](If a card doesn't explicitly say Male or Female it counts as both.)[/color][/i] combatant not actively participating in combat of your choice. Refresh that asset.[/p]")</f>
        <v xml:space="preserve">[p]Choose an explicitly Female, melee combatant; until end of turn, it gets +4/-2.[font_size=15]\n\n[/font_size]If [i]High Kick[/i] is deployed during combat, after interceptors have been declared, until end of turn, gain control of a [u]Male[/u] [i][color=#34343A](If a card doesn't explicitly say Male or Female it counts as both.)[/color][/i] combatant not actively participating in combat of your choice. Refresh that asset.[/p]</v>
      </c>
      <c r="W37" s="6" t="str">
        <f t="shared" si="1"/>
        <v>[i]Effect[/i]</v>
      </c>
      <c r="X37" s="1" t="str">
        <f t="shared" si="2"/>
        <v>RS_YU_001</v>
      </c>
      <c r="Y37" s="1"/>
    </row>
    <row r="38" ht="25.5">
      <c r="A38" s="1" t="s">
        <v>146</v>
      </c>
      <c r="B38" s="1" t="s">
        <v>147</v>
      </c>
      <c r="C38" s="2" t="s">
        <v>148</v>
      </c>
      <c r="D38" s="9" t="s">
        <v>107</v>
      </c>
      <c r="E38" s="1" t="s">
        <v>49</v>
      </c>
      <c r="F38" s="1" t="s">
        <v>26</v>
      </c>
      <c r="G38" s="1" t="s">
        <v>81</v>
      </c>
      <c r="H38" s="3" t="s">
        <v>149</v>
      </c>
      <c r="I38" s="4" t="s">
        <v>150</v>
      </c>
      <c r="J38" s="4"/>
      <c r="K38" s="16">
        <v>5</v>
      </c>
      <c r="L38" s="16">
        <v>6</v>
      </c>
      <c r="M38" s="1"/>
      <c r="O38" s="4"/>
      <c r="Q38" s="7">
        <v>60</v>
      </c>
      <c r="R38" s="7">
        <v>35</v>
      </c>
      <c r="S38" s="1" t="str">
        <f t="shared" si="0"/>
        <v>True</v>
      </c>
      <c r="T38" s="7" t="s">
        <v>110</v>
      </c>
      <c r="U38" s="6" t="str">
        <f>IFERROR(__xludf.DUMMYFUNCTION("TRIM(CONCAT(""[right]"", REGEXREPLACE(C38, ""([ROYGBPXZC_]|1?[0-9])"", ""[img=119]res://textures/icons/$0.png[/img]\\n"")))"),"[right][img=119]res://textures/icons/_.png[/img]\n[img=119]res://textures/icons/_.png[/img]\n[img=119]res://textures/icons/_.png[/img]\n")</f>
        <v>[right][img=119]res://textures/icons/_.png[/img]\n[img=119]res://textures/icons/_.png[/img]\n[img=119]res://textures/icons/_.png[/img]\n</v>
      </c>
      <c r="V38" s="1" t="str">
        <f>IFERROR(__xludf.DUMMYFUNCTION("SUBSTITUTE(SUBSTITUTE(SUBSTITUTE(SUBSTITUTE(REGEXREPLACE(SUBSTITUTE(SUBSTITUTE(SUBSTITUTE(SUBSTITUTE(REGEXREPLACE(I38, ""(\[([ROYGBPTQUXZC_]|1?[0-9])\])"", ""[img=45]res://textures/icons/$2.png[/img]""),""--"",""—""),""-&gt;"",""•""),""~@"", CONCATENATE(""[i"&amp;"]"",REGEXEXTRACT(B38,""^([\s\S]*),|$""),""[/i]"")),""~"", CONCATENATE(""[i]"",B38,""[/i]"")),""(\([\s\S]*?\))"",""[i][color=#34343A]$0[/color][/i]""), ""&lt;"", ""[""), ""&gt;"", ""]""), ""[/p][p]"", ""[font_size=15]\n\n[/font_size]""), ""[br/]"", ""\n"")"),"[i][color=#34343A]([img=45]res://textures/icons/_.png[/img] can be paid with either [img=45]res://textures/icons/R.png[/img] or [img=45]res://textures/icons/Y.png[/img].)[/color][/i][p]Whenever [i]Masochistic Angel[/i] is chosen, until end of turn, it get"&amp;"s +2/+0.[/p]")</f>
        <v xml:space="preserve">[i][color=#34343A]([img=45]res://textures/icons/_.png[/img] can be paid with either [img=45]res://textures/icons/R.png[/img] or [img=45]res://textures/icons/Y.png[/img].)[/color][/i][p]Whenever [i]Masochistic Angel[/i] is chosen, until end of turn, it gets +2/+0.[/p]</v>
      </c>
      <c r="W38" s="6" t="str">
        <f t="shared" si="1"/>
        <v>[i]Asset[/i]</v>
      </c>
      <c r="X38" s="1" t="str">
        <f t="shared" si="2"/>
        <v>RS_MC_RY_001</v>
      </c>
      <c r="Y38" s="1"/>
    </row>
    <row r="39" ht="76.5">
      <c r="A39" s="7" t="s">
        <v>151</v>
      </c>
      <c r="B39" s="7" t="s">
        <v>152</v>
      </c>
      <c r="C39" s="12" t="s">
        <v>62</v>
      </c>
      <c r="D39" s="9" t="s">
        <v>107</v>
      </c>
      <c r="E39" s="1"/>
      <c r="F39" s="1" t="s">
        <v>35</v>
      </c>
      <c r="G39" s="7" t="s">
        <v>119</v>
      </c>
      <c r="H39" s="10" t="s">
        <v>153</v>
      </c>
      <c r="I39" s="11" t="s">
        <v>154</v>
      </c>
      <c r="J39" s="11"/>
      <c r="K39" s="6" t="s">
        <v>39</v>
      </c>
      <c r="L39" s="6" t="s">
        <v>39</v>
      </c>
      <c r="Q39" s="7">
        <v>60</v>
      </c>
      <c r="R39" s="7">
        <v>50</v>
      </c>
      <c r="S39" s="1" t="str">
        <f t="shared" si="0"/>
        <v>False</v>
      </c>
      <c r="T39" s="7" t="s">
        <v>110</v>
      </c>
      <c r="U39" s="6" t="str">
        <f>IFERROR(__xludf.DUMMYFUNCTION("TRIM(CONCAT(""[right]"", REGEXREPLACE(C39, ""([ROYGBPXZC_]|1?[0-9])"", ""[img=119]res://textures/icons/$0.png[/img]\\n"")))"),"[right][img=119]res://textures/icons/_.png[/img]\n[img=119]res://textures/icons/_.png[/img]\n")</f>
        <v>[right][img=119]res://textures/icons/_.png[/img]\n[img=119]res://textures/icons/_.png[/img]\n</v>
      </c>
      <c r="V39" s="1" t="str">
        <f>IFERROR(__xludf.DUMMYFUNCTION("SUBSTITUTE(SUBSTITUTE(SUBSTITUTE(SUBSTITUTE(REGEXREPLACE(SUBSTITUTE(SUBSTITUTE(SUBSTITUTE(SUBSTITUTE(REGEXREPLACE(I39, ""(\[([ROYGBPTQUXZC_]|1?[0-9])\])"", ""[img=45]res://textures/icons/$2.png[/img]""),""--"",""—""),""-&gt;"",""•""),""~@"", CONCATENATE(""[i"&amp;"]"",REGEXEXTRACT(B39,""^([\s\S]*),|$""),""[/i]"")),""~"", CONCATENATE(""[i]"",B39,""[/i]"")),""(\([\s\S]*?\))"",""[i][color=#34343A]$0[/color][/i]""), ""&lt;"", ""[""), ""&gt;"", ""]""), ""[/p][p]"", ""[font_size=15]\n\n[/font_size]""), ""[br/]"", ""\n"")"),"[center][i][color=#34343A]([img=45]res://textures/icons/_.png[/img] can be paid with either [img=45]res://textures/icons/R.png[/img] or [img=45]res://textures/icons/Y.png[/img])[/color][/i][/center][p][center][u]Advantageous[/u] [i][color=#34343A](When [i"&amp;"]Nether Stomp[/i] resolves, draw a card.)[/color][/i][/center][font_size=15]\n\n[/font_size]Choose a melee combatant you control and another combatant; the combatant you control deals damage equal to its attack power to the one you don't.[/p]")</f>
        <v xml:space="preserve">[center][i][color=#34343A]([img=45]res://textures/icons/_.png[/img] can be paid with either [img=45]res://textures/icons/R.png[/img] or [img=45]res://textures/icons/Y.png[/img])[/color][/i][/center][p][center][u]Advantageous[/u] [i][color=#34343A](When [i]Nether Stomp[/i] resolves, draw a card.)[/color][/i][/center][font_size=15]\n\n[/font_size]Choose a melee combatant you control and another combatant; the combatant you control deals damage equal to its attack power to the one you don't.[/p]</v>
      </c>
      <c r="W39" s="6" t="str">
        <f t="shared" si="1"/>
        <v>[i]Effect[/i]</v>
      </c>
      <c r="X39" s="1" t="str">
        <f t="shared" si="2"/>
        <v>RS_MC_RY_002</v>
      </c>
      <c r="Y39" s="1"/>
    </row>
    <row r="40" ht="63.75">
      <c r="A40" s="7" t="s">
        <v>155</v>
      </c>
      <c r="B40" s="7" t="s">
        <v>156</v>
      </c>
      <c r="C40" s="12" t="s">
        <v>153</v>
      </c>
      <c r="D40" s="9" t="str">
        <f>IFERROR(__xludf.DUMMYFUNCTION("IF(ISBLANK(A40),"""",SWITCH(IF(T40="""",0,COUNTA(SPLIT(T40,"" ""))),0,""Generic"",1,TRIM(T40),2,""Multicolor"",3,""Multicolor"",4,""Multicolor"",5,""Multicolor"",6,""Multicolor"",7,""Multicolor"",8,""Multicolor""))"),"Generic")</f>
        <v>Generic</v>
      </c>
      <c r="E40" s="1"/>
      <c r="F40" s="1" t="s">
        <v>26</v>
      </c>
      <c r="G40" s="7" t="s">
        <v>157</v>
      </c>
      <c r="H40" s="10" t="s">
        <v>149</v>
      </c>
      <c r="I40" s="11" t="s">
        <v>158</v>
      </c>
      <c r="J40" s="11"/>
      <c r="K40" s="6" t="s">
        <v>39</v>
      </c>
      <c r="L40" s="6" t="s">
        <v>39</v>
      </c>
      <c r="Q40" s="7">
        <v>60</v>
      </c>
      <c r="R40" s="7">
        <v>50</v>
      </c>
      <c r="S40" s="1" t="str">
        <f t="shared" si="0"/>
        <v>False</v>
      </c>
      <c r="T40" s="6" t="str">
        <f>IFERROR(__xludf.DUMMYFUNCTION("CONCATENATE(if(REGEXMATCH(C40,""R""),"" Red"",""""),if(REGEXMATCH(C40,""O""),"" Orange"",""""),if(REGEXMATCH(C40,""Y""),"" Yellow"",""""),if(REGEXMATCH(C40,""G""),"" Green"",""""),if(REGEXMATCH(C40,""B""),"" Blue"",""""),if(REGEXMATCH(C40,""P""),"" Purple"&amp;""",""""))"),"")</f>
        <v/>
      </c>
      <c r="U40" s="6" t="str">
        <f>IFERROR(__xludf.DUMMYFUNCTION("TRIM(CONCAT(""[right]"", REGEXREPLACE(C40, ""([ROYGBPXZC_]|1?[0-9])"", ""[img=119]res://textures/icons/$0.png[/img]\\n"")))"),"[right][img=119]res://textures/icons/2.png[/img]\n")</f>
        <v>[right][img=119]res://textures/icons/2.png[/img]\n</v>
      </c>
      <c r="V40" s="1" t="str">
        <f>IFERROR(__xludf.DUMMYFUNCTION("SUBSTITUTE(SUBSTITUTE(SUBSTITUTE(SUBSTITUTE(REGEXREPLACE(SUBSTITUTE(SUBSTITUTE(SUBSTITUTE(SUBSTITUTE(REGEXREPLACE(I40, ""(\[([ROYGBPTQUXZC_]|1?[0-9])\])"", ""[img=45]res://textures/icons/$2.png[/img]""),""--"",""—""),""-&gt;"",""•""),""~@"", CONCATENATE(""[i"&amp;"]"",REGEXEXTRACT(B40,""^([\s\S]*),|$""),""[/i]"")),""~"", CONCATENATE(""[i]"",B40,""[/i]"")),""(\([\s\S]*?\))"",""[i][color=#34343A]$0[/color][/i]""), ""&lt;"", ""[""), ""&gt;"", ""]""), ""[/p][p]"", ""[font_size=15]\n\n[/font_size]""), ""[br/]"", ""\n"")"),"[center][u]Tradeable[/u] [i][color=#34343A](Once each turn, you may pay [i]Angel's Katana[/i]'s cost, if you do choose another combatant; attach [i]Angel's Katana[/i] to it.)[/color][/i][/center][p]When [i]Angel's Katana[/i] enters the battlefield, choose"&amp;" a combatant to attach it to[font_size=15]\n\n[/font_size]The attached combatant gets +3/+0, [u]permanence[/u], and melee.[/p]")</f>
        <v xml:space="preserve">[center][u]Tradeable[/u] [i][color=#34343A](Once each turn, you may pay [i]Angel's Katana[/i]'s cost, if you do choose another combatant; attach [i]Angel's Katana[/i] to it.)[/color][/i][/center][p]When [i]Angel's Katana[/i] enters the battlefield, choose a combatant to attach it to[font_size=15]\n\n[/font_size]The attached combatant gets +3/+0, [u]permanence[/u], and melee.[/p]</v>
      </c>
      <c r="W40" s="6" t="str">
        <f t="shared" si="1"/>
        <v>[i]Asset[/i]</v>
      </c>
      <c r="X40" s="1" t="str">
        <f t="shared" si="2"/>
        <v>RS_CC_001</v>
      </c>
      <c r="Y40" s="1"/>
    </row>
    <row r="41" ht="102">
      <c r="A41" s="7" t="s">
        <v>159</v>
      </c>
      <c r="B41" s="7" t="s">
        <v>160</v>
      </c>
      <c r="C41" s="12" t="s">
        <v>161</v>
      </c>
      <c r="D41" s="9" t="str">
        <f>IFERROR(__xludf.DUMMYFUNCTION("IF(ISBLANK(A41),"""",SWITCH(IF(T41="""",0,COUNTA(SPLIT(T41,"" ""))),0,""Generic"",1,TRIM(T41),2,""Multicolor"",3,""Multicolor"",4,""Multicolor"",5,""Multicolor"",6,""Multicolor"",7,""Multicolor"",8,""Multicolor""))"),"Yellow")</f>
        <v>Yellow</v>
      </c>
      <c r="E41" s="1"/>
      <c r="F41" s="1" t="s">
        <v>26</v>
      </c>
      <c r="G41" s="7" t="s">
        <v>162</v>
      </c>
      <c r="H41" s="10" t="s">
        <v>153</v>
      </c>
      <c r="I41" s="11" t="s">
        <v>163</v>
      </c>
      <c r="J41" s="11" t="s">
        <v>164</v>
      </c>
      <c r="K41" s="7">
        <v>8</v>
      </c>
      <c r="L41" s="7">
        <v>8</v>
      </c>
      <c r="Q41" s="7">
        <v>50</v>
      </c>
      <c r="R41" s="7">
        <v>50</v>
      </c>
      <c r="S41" s="1" t="str">
        <f t="shared" si="0"/>
        <v>True</v>
      </c>
      <c r="T41" s="6" t="str">
        <f>IFERROR(__xludf.DUMMYFUNCTION("CONCATENATE(if(REGEXMATCH(C41,""R""),"" Red"",""""),if(REGEXMATCH(C41,""O""),"" Orange"",""""),if(REGEXMATCH(C41,""Y""),"" Yellow"",""""),if(REGEXMATCH(C41,""G""),"" Green"",""""),if(REGEXMATCH(C41,""B""),"" Blue"",""""),if(REGEXMATCH(C41,""P""),"" Purple"&amp;""",""""))")," Yellow")</f>
        <v>Yellow</v>
      </c>
      <c r="U41" s="6" t="str">
        <f>IFERROR(__xludf.DUMMYFUNCTION("TRIM(CONCAT(""[right]"", REGEXREPLACE(C41, ""([ROYGBPXZC_]|1?[0-9])"", ""[img=119]res://textures/icons/$0.png[/img]\\n"")))"),"[right][img=119]res://textures/icons/2.png[/img]\n[img=119]res://textures/icons/Y.png[/img]\n[img=119]res://textures/icons/Y.png[/img]\n")</f>
        <v>[right][img=119]res://textures/icons/2.png[/img]\n[img=119]res://textures/icons/Y.png[/img]\n[img=119]res://textures/icons/Y.png[/img]\n</v>
      </c>
      <c r="V41" s="1" t="str">
        <f>IFERROR(__xludf.DUMMYFUNCTION("SUBSTITUTE(SUBSTITUTE(SUBSTITUTE(SUBSTITUTE(REGEXREPLACE(SUBSTITUTE(SUBSTITUTE(SUBSTITUTE(SUBSTITUTE(REGEXREPLACE(I41, ""(\[([ROYGBPTQUXZC_]|1?[0-9])\])"", ""[img=45]res://textures/icons/$2.png[/img]""),""--"",""—""),""-&gt;"",""•""),""~@"", CONCATENATE(""[i"&amp;"]"",REGEXEXTRACT(B41,""^([\s\S]*),|$""),""[/i]"")),""~"", CONCATENATE(""[i]"",B41,""[/i]"")),""(\([\s\S]*?\))"",""[i][color=#34343A]$0[/color][/i]""), ""&lt;"", ""[""), ""&gt;"", ""]""), ""[/p][p]"", ""[font_size=15]\n\n[/font_size]""), ""[br/]"", ""\n"")"),"[center][u]Mob[/u] [i][color=#34343A](You, not your opponent, choose how combat damage is divided among the intercepted and intercepting mobs you control.)[/color][/i], [u]Warrant[/u] [i][color=#34343A](When you deploy [i]Underworld Crowd[/i], shuffle an "&amp;"'Incarceration' into your deck.)[/color][/i][/center][p][i]Underworld Crowd[/i] can't be damaged or chosen by anything Order [i][color=#34343A]([img=45]res://textures/icons/B.png[/img])[/color][/i].[/p]")</f>
        <v xml:space="preserve">[center][u]Mob[/u] [i][color=#34343A](You, not your opponent, choose how combat damage is divided among the intercepted and intercepting mobs you control.)[/color][/i], [u]Warrant[/u] [i][color=#34343A](When you deploy [i]Underworld Crowd[/i], shuffle an 'Incarceration' into your deck.)[/color][/i][/center][p][i]Underworld Crowd[/i] can't be damaged or chosen by anything Order [i][color=#34343A]([img=45]res://textures/icons/B.png[/img])[/color][/i].[/p]</v>
      </c>
      <c r="W41" s="6" t="str">
        <f t="shared" si="1"/>
        <v>[i]Asset[/i]</v>
      </c>
      <c r="X41" s="1" t="str">
        <f t="shared" si="2"/>
        <v>RS_YR_001</v>
      </c>
      <c r="Y41" s="1"/>
    </row>
    <row r="42" ht="63.75">
      <c r="A42" s="7" t="s">
        <v>165</v>
      </c>
      <c r="B42" s="7" t="s">
        <v>166</v>
      </c>
      <c r="C42" s="12" t="s">
        <v>167</v>
      </c>
      <c r="D42" s="9" t="str">
        <f>IFERROR(__xludf.DUMMYFUNCTION("IF(ISBLANK(A42),"""",SWITCH(IF(T42="""",0,COUNTA(SPLIT(T42,"" ""))),0,""Generic"",1,TRIM(T42),2,""Multicolor"",3,""Multicolor"",4,""Multicolor"",5,""Multicolor"",6,""Multicolor"",7,""Multicolor"",8,""Multicolor""))"),"Red")</f>
        <v>Red</v>
      </c>
      <c r="E42" s="1" t="s">
        <v>49</v>
      </c>
      <c r="F42" s="1" t="s">
        <v>26</v>
      </c>
      <c r="G42" s="1" t="s">
        <v>81</v>
      </c>
      <c r="H42" s="10" t="s">
        <v>153</v>
      </c>
      <c r="I42" s="18" t="s">
        <v>168</v>
      </c>
      <c r="J42" s="11" t="s">
        <v>169</v>
      </c>
      <c r="K42" s="7">
        <v>2</v>
      </c>
      <c r="L42" s="7">
        <v>6</v>
      </c>
      <c r="Q42" s="7">
        <v>60</v>
      </c>
      <c r="R42" s="7">
        <v>35</v>
      </c>
      <c r="S42" s="1" t="str">
        <f t="shared" si="0"/>
        <v>True</v>
      </c>
      <c r="T42" s="6" t="str">
        <f>IFERROR(__xludf.DUMMYFUNCTION("CONCATENATE(if(REGEXMATCH(C42,""R""),"" Red"",""""),if(REGEXMATCH(C42,""O""),"" Orange"",""""),if(REGEXMATCH(C42,""Y""),"" Yellow"",""""),if(REGEXMATCH(C42,""G""),"" Green"",""""),if(REGEXMATCH(C42,""B""),"" Blue"",""""),if(REGEXMATCH(C42,""P""),"" Purple"&amp;""",""""))")," Red")</f>
        <v>Red</v>
      </c>
      <c r="U42" s="6" t="str">
        <f>IFERROR(__xludf.DUMMYFUNCTION("TRIM(CONCAT(""[right]"", REGEXREPLACE(C42, ""([ROYGBPXZC_]|1?[0-9])"", ""[img=119]res://textures/icons/$0.png[/img]\\n"")))"),"[right][img=119]res://textures/icons/2.png[/img]\n[img=119]res://textures/icons/R.png[/img]\n")</f>
        <v>[right][img=119]res://textures/icons/2.png[/img]\n[img=119]res://textures/icons/R.png[/img]\n</v>
      </c>
      <c r="V42" s="1" t="str">
        <f>IFERROR(__xludf.DUMMYFUNCTION("SUBSTITUTE(SUBSTITUTE(SUBSTITUTE(SUBSTITUTE(REGEXREPLACE(SUBSTITUTE(SUBSTITUTE(SUBSTITUTE(SUBSTITUTE(REGEXREPLACE(I42, ""(\[([ROYGBPTQUXZC_]|1?[0-9])\])"", ""[img=45]res://textures/icons/$2.png[/img]""),""--"",""—""),""-&gt;"",""•""),""~@"", CONCATENATE(""[i"&amp;"]"",REGEXEXTRACT(B42,""^([\s\S]*),|$""),""[/i]"")),""~"", CONCATENATE(""[i]"",B42,""[/i]"")),""(\([\s\S]*?\))"",""[i][color=#34343A]$0[/color][/i]""), ""&lt;"", ""[""), ""&gt;"", ""]""), ""[/p][p]"", ""[font_size=15]\n\n[/font_size]""), ""[br/]"", ""\n"")"),"[center][u]Armed — 'Angel's Katana'[/u] [i][color=#34343A]([i]Sadistic Angel[/i] enters the battlefield with a transient [i]'Angel's Katana'[/i] attached to it.)[/color][/i], [u]Retribution[/u] [i][color=#34343A](When you draw [i]Sadistic Angel[/i] as a r"&amp;"esult of taking damage, you may deploy it without paying its cost.)[/color][/i][/center]")</f>
        <v xml:space="preserve">[center][u]Armed — 'Angel's Katana'[/u] [i][color=#34343A]([i]Sadistic Angel[/i] enters the battlefield with a transient [i]'Angel's Katana'[/i] attached to it.)[/color][/i], [u]Retribution[/u] [i][color=#34343A](When you draw [i]Sadistic Angel[/i] as a result of taking damage, you may deploy it without paying its cost.)[/color][/i][/center]</v>
      </c>
      <c r="W42" s="6" t="str">
        <f t="shared" si="1"/>
        <v>[i]Asset[/i]</v>
      </c>
      <c r="X42" s="1" t="str">
        <f t="shared" si="2"/>
        <v>RS_RC_001</v>
      </c>
      <c r="Y42" s="1"/>
    </row>
    <row r="43" ht="76.5">
      <c r="A43" s="7" t="s">
        <v>170</v>
      </c>
      <c r="B43" s="7" t="s">
        <v>171</v>
      </c>
      <c r="C43" s="12" t="s">
        <v>48</v>
      </c>
      <c r="D43" s="9" t="str">
        <f>IFERROR(__xludf.DUMMYFUNCTION("IF(ISBLANK(A43),"""",SWITCH(IF(T43="""",0,COUNTA(SPLIT(T43,"" ""))),0,""Generic"",1,TRIM(T43),2,""Multicolor"",3,""Multicolor"",4,""Multicolor"",5,""Multicolor"",6,""Multicolor"",7,""Multicolor"",8,""Multicolor""))"),"Red")</f>
        <v>Red</v>
      </c>
      <c r="E43" s="1" t="s">
        <v>49</v>
      </c>
      <c r="F43" s="1" t="s">
        <v>26</v>
      </c>
      <c r="G43" s="7" t="s">
        <v>172</v>
      </c>
      <c r="H43" s="10" t="s">
        <v>149</v>
      </c>
      <c r="I43" s="11" t="s">
        <v>173</v>
      </c>
      <c r="J43" s="11" t="s">
        <v>174</v>
      </c>
      <c r="K43" s="7">
        <v>5</v>
      </c>
      <c r="L43" s="7">
        <v>6</v>
      </c>
      <c r="Q43" s="7">
        <v>60</v>
      </c>
      <c r="R43" s="16">
        <v>35</v>
      </c>
      <c r="S43" s="1" t="str">
        <f t="shared" si="0"/>
        <v>True</v>
      </c>
      <c r="T43" s="6" t="str">
        <f>IFERROR(__xludf.DUMMYFUNCTION("CONCATENATE(if(REGEXMATCH(C43,""R""),"" Red"",""""),if(REGEXMATCH(C43,""O""),"" Orange"",""""),if(REGEXMATCH(C43,""Y""),"" Yellow"",""""),if(REGEXMATCH(C43,""G""),"" Green"",""""),if(REGEXMATCH(C43,""B""),"" Blue"",""""),if(REGEXMATCH(C43,""P""),"" Purple"&amp;""",""""))")," Red")</f>
        <v>Red</v>
      </c>
      <c r="U43" s="6" t="str">
        <f>IFERROR(__xludf.DUMMYFUNCTION("TRIM(CONCAT(""[right]"", REGEXREPLACE(C43, ""([ROYGBPXZC_]|1?[0-9])"", ""[img=119]res://textures/icons/$0.png[/img]\\n"")))"),"[right][img=119]res://textures/icons/R.png[/img]\n")</f>
        <v>[right][img=119]res://textures/icons/R.png[/img]\n</v>
      </c>
      <c r="V43" s="1" t="str">
        <f>IFERROR(__xludf.DUMMYFUNCTION("SUBSTITUTE(SUBSTITUTE(SUBSTITUTE(SUBSTITUTE(REGEXREPLACE(SUBSTITUTE(SUBSTITUTE(SUBSTITUTE(SUBSTITUTE(REGEXREPLACE(I43, ""(\[([ROYGBPTQUXZC_]|1?[0-9])\])"", ""[img=45]res://textures/icons/$2.png[/img]""),""--"",""—""),""-&gt;"",""•""),""~@"", CONCATENATE(""[i"&amp;"]"",REGEXEXTRACT(B43,""^([\s\S]*),|$""),""[/i]"")),""~"", CONCATENATE(""[i]"",B43,""[/i]"")),""(\([\s\S]*?\))"",""[i][color=#34343A]$0[/color][/i]""), ""&lt;"", ""[""), ""&gt;"", ""]""), ""[/p][p]"", ""[font_size=15]\n\n[/font_size]""), ""[br/]"", ""\n"")"),"[center][u]Brutal[/u] [i][color=#34343A]([i]Rookie Angel[/i] deals combat damage before assets without brutal.)[/color][/i], [u]Bleeding[/u] [i][color=#34343A](At the end of your turn [i]Rookie Angel[/i] permanently loses 1 health.)[/color][/i][/center]")</f>
        <v xml:space="preserve">[center][u]Brutal[/u] [i][color=#34343A]([i]Rookie Angel[/i] deals combat damage before assets without brutal.)[/color][/i], [u]Bleeding[/u] [i][color=#34343A](At the end of your turn [i]Rookie Angel[/i] permanently loses 1 health.)[/color][/i][/center]</v>
      </c>
      <c r="W43" s="6" t="str">
        <f t="shared" si="1"/>
        <v>[i]Asset[/i]</v>
      </c>
      <c r="X43" s="1" t="str">
        <f t="shared" si="2"/>
        <v>RS_RC_002</v>
      </c>
      <c r="Y43" s="1"/>
    </row>
    <row r="44" ht="51">
      <c r="A44" s="7" t="s">
        <v>175</v>
      </c>
      <c r="B44" s="7" t="s">
        <v>176</v>
      </c>
      <c r="C44" s="12" t="s">
        <v>177</v>
      </c>
      <c r="D44" s="9" t="str">
        <f>IFERROR(__xludf.DUMMYFUNCTION("IF(ISBLANK(A44),"""",SWITCH(IF(T44="""",0,COUNTA(SPLIT(T44,"" ""))),0,""Generic"",1,TRIM(T44),2,""Multicolor"",3,""Multicolor"",4,""Multicolor"",5,""Multicolor"",6,""Multicolor"",7,""Multicolor"",8,""Multicolor""))"),"Yellow")</f>
        <v>Yellow</v>
      </c>
      <c r="E44" s="1" t="s">
        <v>49</v>
      </c>
      <c r="F44" s="1" t="s">
        <v>26</v>
      </c>
      <c r="G44" s="7" t="s">
        <v>178</v>
      </c>
      <c r="H44" s="10" t="s">
        <v>153</v>
      </c>
      <c r="I44" s="11" t="s">
        <v>179</v>
      </c>
      <c r="J44" s="11"/>
      <c r="K44" s="6">
        <v>4</v>
      </c>
      <c r="L44" s="6">
        <v>6</v>
      </c>
      <c r="Q44" s="7">
        <v>60</v>
      </c>
      <c r="R44" s="7">
        <v>35</v>
      </c>
      <c r="S44" s="1" t="str">
        <f t="shared" si="0"/>
        <v>True</v>
      </c>
      <c r="T44" s="6" t="str">
        <f>IFERROR(__xludf.DUMMYFUNCTION("CONCATENATE(if(REGEXMATCH(C44,""R""),"" Red"",""""),if(REGEXMATCH(C44,""O""),"" Orange"",""""),if(REGEXMATCH(C44,""Y""),"" Yellow"",""""),if(REGEXMATCH(C44,""G""),"" Green"",""""),if(REGEXMATCH(C44,""B""),"" Blue"",""""),if(REGEXMATCH(C44,""P""),"" Purple"&amp;""",""""))")," Yellow")</f>
        <v>Yellow</v>
      </c>
      <c r="U44" s="6" t="str">
        <f>IFERROR(__xludf.DUMMYFUNCTION("TRIM(CONCAT(""[right]"", REGEXREPLACE(C44, ""([ROYGBPXZC_]|1?[0-9])"", ""[img=119]res://textures/icons/$0.png[/img]\\n"")))"),"[right][img=119]res://textures/icons/Y.png[/img]\n")</f>
        <v>[right][img=119]res://textures/icons/Y.png[/img]\n</v>
      </c>
      <c r="V44" s="1" t="str">
        <f>IFERROR(__xludf.DUMMYFUNCTION("SUBSTITUTE(SUBSTITUTE(SUBSTITUTE(SUBSTITUTE(REGEXREPLACE(SUBSTITUTE(SUBSTITUTE(SUBSTITUTE(SUBSTITUTE(REGEXREPLACE(I44, ""(\[([ROYGBPTQUXZC_]|1?[0-9])\])"", ""[img=45]res://textures/icons/$2.png[/img]""),""--"",""—""),""-&gt;"",""•""),""~@"", CONCATENATE(""[i"&amp;"]"",REGEXEXTRACT(B44,""^([\s\S]*),|$""),""[/i]"")),""~"", CONCATENATE(""[i]"",B44,""[/i]"")),""(\([\s\S]*?\))"",""[i][color=#34343A]$0[/color][/i]""), ""&lt;"", ""[""), ""&gt;"", ""]""), ""[/p][p]"", ""[font_size=15]\n\n[/font_size]""), ""[br/]"", ""\n"")"),"[center][u]Exchange [img=45]res://textures/icons/R.png[/img][/u] [i][color=#34343A](Pay [img=45]res://textures/icons/R.png[/img], Discard [i]Match Thrower[/i] from your hand: Draw a card.)[/color][/i][/center][p]When [i]Match Thrower[/i] enters the battle"&amp;"field, it permanently gets -4/-4 unless an opponent of your choice draws 2 cards.[/p]")</f>
        <v xml:space="preserve">[center][u]Exchange [img=45]res://textures/icons/R.png[/img][/u] [i][color=#34343A](Pay [img=45]res://textures/icons/R.png[/img], Discard [i]Match Thrower[/i] from your hand: Draw a card.)[/color][/i][/center][p]When [i]Match Thrower[/i] enters the battlefield, it permanently gets -4/-4 unless an opponent of your choice draws 2 cards.[/p]</v>
      </c>
      <c r="W44" s="6" t="str">
        <f t="shared" si="1"/>
        <v>[i]Asset[/i]</v>
      </c>
      <c r="X44" s="1" t="str">
        <f t="shared" si="2"/>
        <v>RS_RC_003</v>
      </c>
      <c r="Y44" s="1"/>
    </row>
    <row r="45" ht="38.25">
      <c r="A45" s="7" t="s">
        <v>180</v>
      </c>
      <c r="B45" s="7" t="s">
        <v>181</v>
      </c>
      <c r="C45" s="12" t="s">
        <v>62</v>
      </c>
      <c r="D45" s="9" t="s">
        <v>107</v>
      </c>
      <c r="E45" s="1" t="s">
        <v>43</v>
      </c>
      <c r="F45" s="1" t="s">
        <v>26</v>
      </c>
      <c r="G45" s="7" t="s">
        <v>182</v>
      </c>
      <c r="H45" s="10" t="s">
        <v>183</v>
      </c>
      <c r="I45" s="19" t="s">
        <v>184</v>
      </c>
      <c r="J45" s="11"/>
      <c r="K45" s="7">
        <v>3</v>
      </c>
      <c r="L45" s="7">
        <v>3</v>
      </c>
      <c r="Q45" s="7">
        <v>60</v>
      </c>
      <c r="R45" s="7">
        <v>35</v>
      </c>
      <c r="S45" s="1" t="str">
        <f t="shared" si="0"/>
        <v>True</v>
      </c>
      <c r="T45" s="7" t="s">
        <v>110</v>
      </c>
      <c r="U45" s="6" t="str">
        <f>IFERROR(__xludf.DUMMYFUNCTION("TRIM(CONCAT(""[right]"", REGEXREPLACE(C45, ""([ROYGBPXZC_]|1?[0-9])"", ""[img=119]res://textures/icons/$0.png[/img]\\n"")))"),"[right][img=119]res://textures/icons/_.png[/img]\n[img=119]res://textures/icons/_.png[/img]\n")</f>
        <v>[right][img=119]res://textures/icons/_.png[/img]\n[img=119]res://textures/icons/_.png[/img]\n</v>
      </c>
      <c r="V45" s="1" t="str">
        <f>IFERROR(__xludf.DUMMYFUNCTION("SUBSTITUTE(SUBSTITUTE(SUBSTITUTE(SUBSTITUTE(REGEXREPLACE(SUBSTITUTE(SUBSTITUTE(SUBSTITUTE(SUBSTITUTE(REGEXREPLACE(I45, ""(\[([ROYGBPTQUXZC_]|1?[0-9])\])"", ""[img=45]res://textures/icons/$2.png[/img]""),""--"",""—""),""-&gt;"",""•""),""~@"", CONCATENATE(""[i"&amp;"]"",REGEXEXTRACT(B45,""^([\s\S]*),|$""),""[/i]"")),""~"", CONCATENATE(""[i]"",B45,""[/i]"")),""(\([\s\S]*?\))"",""[i][color=#34343A]$0[/color][/i]""), ""&lt;"", ""[""), ""&gt;"", ""]""), ""[/p][p]"", ""[font_size=15]\n\n[/font_size]""), ""[br/]"", ""\n"")"),"[center][i][color=#34343A]([img=45]res://textures/icons/_.png[/img] can be paid with either [img=45]res://textures/icons/R.png[/img] or [img=45]res://textures/icons/Y.png[/img])[/color][/i]\n[u]Advantageous[/u] [i][color=#34343A](When [i]Angel Handler[/i]"&amp;" resolves, draw a card.)[/color][/i][/center]")</f>
        <v xml:space="preserve">[center][i][color=#34343A]([img=45]res://textures/icons/_.png[/img] can be paid with either [img=45]res://textures/icons/R.png[/img] or [img=45]res://textures/icons/Y.png[/img])[/color][/i]\n[u]Advantageous[/u] [i][color=#34343A](When [i]Angel Handler[/i] resolves, draw a card.)[/color][/i][/center]</v>
      </c>
      <c r="W45" s="6" t="str">
        <f t="shared" si="1"/>
        <v>[i]Asset[/i]</v>
      </c>
      <c r="X45" s="1" t="str">
        <f t="shared" si="2"/>
        <v>RS_MC_RY_003</v>
      </c>
      <c r="Y45" s="1"/>
    </row>
    <row r="46" ht="89.25">
      <c r="A46" s="7" t="s">
        <v>185</v>
      </c>
      <c r="B46" s="7" t="s">
        <v>186</v>
      </c>
      <c r="C46" s="12" t="s">
        <v>149</v>
      </c>
      <c r="D46" s="9" t="str">
        <f>IFERROR(__xludf.DUMMYFUNCTION("IF(ISBLANK(A46),"""",SWITCH(IF(T46="""",0,COUNTA(SPLIT(T46,"" ""))),0,""Generic"",1,TRIM(T46),2,""Multicolor"",3,""Multicolor"",4,""Multicolor"",5,""Multicolor"",6,""Multicolor"",7,""Multicolor"",8,""Multicolor""))"),"Generic")</f>
        <v>Generic</v>
      </c>
      <c r="E46" s="1"/>
      <c r="F46" s="1" t="s">
        <v>26</v>
      </c>
      <c r="G46" s="7" t="s">
        <v>187</v>
      </c>
      <c r="H46" s="10" t="s">
        <v>183</v>
      </c>
      <c r="I46" s="11" t="s">
        <v>188</v>
      </c>
      <c r="J46" s="11" t="s">
        <v>189</v>
      </c>
      <c r="K46" s="6" t="s">
        <v>39</v>
      </c>
      <c r="L46" s="6" t="s">
        <v>39</v>
      </c>
      <c r="Q46" s="7">
        <v>60</v>
      </c>
      <c r="R46" s="7">
        <v>50</v>
      </c>
      <c r="S46" s="1" t="str">
        <f t="shared" si="0"/>
        <v>False</v>
      </c>
      <c r="T46" s="6" t="str">
        <f>IFERROR(__xludf.DUMMYFUNCTION("CONCATENATE(if(REGEXMATCH(C46,""R""),"" Red"",""""),if(REGEXMATCH(C46,""O""),"" Orange"",""""),if(REGEXMATCH(C46,""Y""),"" Yellow"",""""),if(REGEXMATCH(C46,""G""),"" Green"",""""),if(REGEXMATCH(C46,""B""),"" Blue"",""""),if(REGEXMATCH(C46,""P""),"" Purple"&amp;""",""""))"),"")</f>
        <v/>
      </c>
      <c r="U46" s="6" t="str">
        <f>IFERROR(__xludf.DUMMYFUNCTION("TRIM(CONCAT(""[right]"", REGEXREPLACE(C46, ""([ROYGBPXZC_]|1?[0-9])"", ""[img=119]res://textures/icons/$0.png[/img]\\n"")))"),"[right][img=119]res://textures/icons/3.png[/img]\n")</f>
        <v>[right][img=119]res://textures/icons/3.png[/img]\n</v>
      </c>
      <c r="V46" s="1" t="str">
        <f>IFERROR(__xludf.DUMMYFUNCTION("SUBSTITUTE(SUBSTITUTE(SUBSTITUTE(SUBSTITUTE(REGEXREPLACE(SUBSTITUTE(SUBSTITUTE(SUBSTITUTE(SUBSTITUTE(REGEXREPLACE(I46, ""(\[([ROYGBPTQUXZC_]|1?[0-9])\])"", ""[img=45]res://textures/icons/$2.png[/img]""),""--"",""—""),""-&gt;"",""•""),""~@"", CONCATENATE(""[i"&amp;"]"",REGEXEXTRACT(B46,""^([\s\S]*),|$""),""[/i]"")),""~"", CONCATENATE(""[i]"",B46,""[/i]"")),""(\([\s\S]*?\))"",""[i][color=#34343A]$0[/color][/i]""), ""&lt;"", ""[""), ""&gt;"", ""]""), ""[/p][p]"", ""[font_size=15]\n\n[/font_size]""), ""[br/]"", ""\n"")"),"When [i]Vital Tracker[/i] enters the battlefield, choose a combatant you own to attach it to.[p]At the beginning of your turn, if you don't control the attached asset, gain control of it.[/p]")</f>
        <v xml:space="preserve">When [i]Vital Tracker[/i] enters the battlefield, choose a combatant you own to attach it to.[p]At the beginning of your turn, if you don't control the attached asset, gain control of it.[/p]</v>
      </c>
      <c r="W46" s="6" t="str">
        <f t="shared" si="1"/>
        <v>[i]Asset[/i]</v>
      </c>
      <c r="X46" s="1" t="str">
        <f t="shared" si="2"/>
        <v>RS_CC_002</v>
      </c>
      <c r="Y46" s="1"/>
    </row>
    <row r="47" ht="38.25">
      <c r="A47" s="7" t="s">
        <v>190</v>
      </c>
      <c r="B47" s="1" t="s">
        <v>191</v>
      </c>
      <c r="C47" s="2" t="s">
        <v>192</v>
      </c>
      <c r="D47" s="9" t="str">
        <f>IFERROR(__xludf.DUMMYFUNCTION("IF(EQ(A47,B47),"""",SWITCH(IF(T47="""",0,COUNTA(SPLIT(T47,"" ""))),0,""Generic"",1,TRIM(T47),2,""Multicolor"",3,""Multicolor"",4,""Multicolor"",5,""Multicolor"",6,""Multicolor"",7,""Multicolor"",8,""Multicolor""))"),"Multicolor")</f>
        <v>Multicolor</v>
      </c>
      <c r="E47" s="1" t="s">
        <v>43</v>
      </c>
      <c r="F47" s="1" t="s">
        <v>26</v>
      </c>
      <c r="G47" s="1" t="s">
        <v>81</v>
      </c>
      <c r="H47" s="3" t="s">
        <v>37</v>
      </c>
      <c r="I47" s="4" t="s">
        <v>193</v>
      </c>
      <c r="J47" s="4" t="s">
        <v>194</v>
      </c>
      <c r="K47" s="7">
        <v>7</v>
      </c>
      <c r="L47" s="7">
        <v>9</v>
      </c>
      <c r="O47" s="7"/>
      <c r="Q47" s="7">
        <v>45</v>
      </c>
      <c r="R47" s="7">
        <v>35</v>
      </c>
      <c r="S47" s="1" t="str">
        <f t="shared" si="0"/>
        <v>True</v>
      </c>
      <c r="T47" s="6" t="str">
        <f>IFERROR(__xludf.DUMMYFUNCTION("CONCATENATE(if(REGEXMATCH(C47,""R""),"" Red"",""""),if(REGEXMATCH(C47,""O""),"" Orange"",""""),if(REGEXMATCH(C47,""Y""),"" Yellow"",""""),if(REGEXMATCH(C47,""G""),"" Green"",""""),if(REGEXMATCH(C47,""B""),"" Blue"",""""),if(REGEXMATCH(C47,""P""),"" Purple"&amp;""",""""))")," Red Yellow")</f>
        <v xml:space="preserve">Red Yellow</v>
      </c>
      <c r="U47" s="6" t="str">
        <f>IFERROR(__xludf.DUMMYFUNCTION("TRIM(CONCAT(""[right]"", REGEXREPLACE(C47, ""([ROYGBPXZC_]|1?[0-9])"", ""[img=119]res://textures/icons/$0.png[/img]\\n"")))"),"[right][img=119]res://textures/icons/2.png[/img]\n[img=119]res://textures/icons/R.png[/img]\n[img=119]res://textures/icons/Y.png[/img]\n")</f>
        <v>[right][img=119]res://textures/icons/2.png[/img]\n[img=119]res://textures/icons/R.png[/img]\n[img=119]res://textures/icons/Y.png[/img]\n</v>
      </c>
      <c r="V47" s="1" t="str">
        <f>IFERROR(__xludf.DUMMYFUNCTION("SUBSTITUTE(SUBSTITUTE(SUBSTITUTE(SUBSTITUTE(REGEXREPLACE(SUBSTITUTE(SUBSTITUTE(SUBSTITUTE(SUBSTITUTE(REGEXREPLACE(I47, ""(\[([ROYGBPTQUXZC_]|1?[0-9])\])"", ""[img=45]res://textures/icons/$2.png[/img]""),""--"",""—""),""-&gt;"",""•""),""~@"", CONCATENATE(""[i"&amp;"]"",REGEXEXTRACT(B47,""^([\s\S]*),|$""),""[/i]"")),""~"", CONCATENATE(""[i]"",B47,""[/i]"")),""(\([\s\S]*?\))"",""[i][color=#34343A]$0[/color][/i]""), ""&lt;"", ""[""), ""&gt;"", ""]""), ""[/p][p]"", ""[font_size=15]\n\n[/font_size]""), ""[br/]"", ""\n"")"),"[center]Effects you control have [u]permanence[/u] [i][color=#34343A](Damage they deal permanently reduces the health of assets which they damage.)[/color][/i][/center]")</f>
        <v xml:space="preserve">[center]Effects you control have [u]permanence[/u] [i][color=#34343A](Damage they deal permanently reduces the health of assets which they damage.)[/color][/i][/center]</v>
      </c>
      <c r="W47" s="6" t="str">
        <f t="shared" si="1"/>
        <v>[i]Asset[/i]</v>
      </c>
      <c r="X47" s="1" t="str">
        <f t="shared" si="2"/>
        <v>RS_MR_RY_004</v>
      </c>
      <c r="Y47" s="1"/>
    </row>
    <row r="48" ht="89.25">
      <c r="A48" s="7" t="s">
        <v>195</v>
      </c>
      <c r="B48" s="1" t="s">
        <v>196</v>
      </c>
      <c r="C48" s="2" t="s">
        <v>62</v>
      </c>
      <c r="D48" s="9" t="s">
        <v>107</v>
      </c>
      <c r="E48" s="1"/>
      <c r="F48" s="1" t="s">
        <v>26</v>
      </c>
      <c r="G48" s="1" t="s">
        <v>197</v>
      </c>
      <c r="H48" s="3" t="s">
        <v>58</v>
      </c>
      <c r="I48" s="11" t="s">
        <v>198</v>
      </c>
      <c r="K48" s="6"/>
      <c r="L48" s="6"/>
      <c r="O48" s="7"/>
      <c r="Q48" s="7">
        <v>60</v>
      </c>
      <c r="R48" s="7">
        <v>50</v>
      </c>
      <c r="S48" s="1" t="str">
        <f t="shared" si="0"/>
        <v>False</v>
      </c>
      <c r="T48" s="7" t="s">
        <v>110</v>
      </c>
      <c r="U48" s="6" t="str">
        <f>IFERROR(__xludf.DUMMYFUNCTION("TRIM(CONCAT(""[right]"", REGEXREPLACE(C48, ""([ROYGBPXZC_]|1?[0-9])"", ""[img=119]res://textures/icons/$0.png[/img]\\n"")))"),"[right][img=119]res://textures/icons/_.png[/img]\n[img=119]res://textures/icons/_.png[/img]\n")</f>
        <v>[right][img=119]res://textures/icons/_.png[/img]\n[img=119]res://textures/icons/_.png[/img]\n</v>
      </c>
      <c r="V48" s="1" t="str">
        <f>IFERROR(__xludf.DUMMYFUNCTION("SUBSTITUTE(SUBSTITUTE(SUBSTITUTE(SUBSTITUTE(REGEXREPLACE(SUBSTITUTE(SUBSTITUTE(SUBSTITUTE(SUBSTITUTE(REGEXREPLACE(I48, ""(\[([ROYGBPTQUXZC_]|1?[0-9])\])"", ""[img=45]res://textures/icons/$2.png[/img]""),""--"",""—""),""-&gt;"",""•""),""~@"", CONCATENATE(""[i"&amp;"]"",REGEXEXTRACT(B48,""^([\s\S]*),|$""),""[/i]"")),""~"", CONCATENATE(""[i]"",B48,""[/i]"")),""(\([\s\S]*?\))"",""[i][color=#34343A]$0[/color][/i]""), ""&lt;"", ""[""), ""&gt;"", ""]""), ""[/p][p]"", ""[font_size=15]\n\n[/font_size]""), ""[br/]"", ""\n"")"),"[i][color=#34343A]([img=45]res://textures/icons/_.png[/img] can be paid with either [img=45]res://textures/icons/R.png[/img] or [img=45]res://textures/icons/Y.png[/img])[/color][/i][p]When you deploy [i]Pit's Red Light District[/i], choose a combatant you"&amp;" control; set it aside until [i]Pit's Red Light District[/i] leaves the battlefield. At the end of each of your turns, the set aside asset permanently gets -1/-1, if it would die [u]Forfeit[/u] [i][color=#34343A](Put the specified card into its owner's di"&amp;"scard.)[/color][/i] [i]Pit's Red Light District[/i].[font_size=15]\n\n[/font_size][img=45]res://textures/icons/T.png[/img]: Add 1 energy of the set aside asset's type.[font_size=15]\n\n[/font_size][img=45]res://textures/icons/T.png[/img]: [u]Forfeit[/u] ["&amp;"i]Pit's Red Light District[/i].[/p]")</f>
        <v xml:space="preserve">[i][color=#34343A]([img=45]res://textures/icons/_.png[/img] can be paid with either [img=45]res://textures/icons/R.png[/img] or [img=45]res://textures/icons/Y.png[/img])[/color][/i][p]When you deploy [i]Pit's Red Light District[/i], choose a combatant you control; set it aside until [i]Pit's Red Light District[/i] leaves the battlefield. At the end of each of your turns, the set aside asset permanently gets -1/-1, if it would die [u]Forfeit[/u] [i][color=#34343A](Put the specified card into its owner's discard.)[/color][/i] [i]Pit's Red Light District[/i].[font_size=15]\n\n[/font_size][img=45]res://textures/icons/T.png[/img]: Add 1 energy of the set aside asset's type.[font_size=15]\n\n[/font_size][img=45]res://textures/icons/T.png[/img]: [u]Forfeit[/u] [i]Pit's Red Light District[/i].[/p]</v>
      </c>
      <c r="W48" s="6" t="str">
        <f t="shared" si="1"/>
        <v>[i]Asset[/i]</v>
      </c>
      <c r="X48" s="1" t="str">
        <f t="shared" si="2"/>
        <v>RS_YU_005</v>
      </c>
      <c r="Y48" s="1"/>
    </row>
    <row r="49" ht="114.75">
      <c r="A49" s="7" t="s">
        <v>199</v>
      </c>
      <c r="B49" s="7" t="s">
        <v>200</v>
      </c>
      <c r="C49" s="12" t="s">
        <v>25</v>
      </c>
      <c r="D49" s="9" t="s">
        <v>107</v>
      </c>
      <c r="E49" s="1"/>
      <c r="F49" s="1" t="s">
        <v>201</v>
      </c>
      <c r="G49" s="7"/>
      <c r="H49" s="20">
        <v>5</v>
      </c>
      <c r="I49" s="11" t="s">
        <v>202</v>
      </c>
      <c r="K49" s="6"/>
      <c r="L49" s="6"/>
      <c r="O49" s="7"/>
      <c r="Q49" s="7">
        <v>60</v>
      </c>
      <c r="R49" s="7">
        <v>50</v>
      </c>
      <c r="S49" s="1" t="str">
        <f t="shared" si="0"/>
        <v>False</v>
      </c>
      <c r="T49" s="7" t="s">
        <v>110</v>
      </c>
      <c r="U49" s="6" t="str">
        <f>IFERROR(__xludf.DUMMYFUNCTION("TRIM(CONCAT(""[right]"", REGEXREPLACE(C49, ""([ROYGBPXZC_]|1?[0-9])"", ""[img=119]res://textures/icons/$0.png[/img]\\n"")))"),"[right]")</f>
        <v>[right]</v>
      </c>
      <c r="V49" s="1" t="str">
        <f>IFERROR(__xludf.DUMMYFUNCTION("SUBSTITUTE(SUBSTITUTE(SUBSTITUTE(SUBSTITUTE(REGEXREPLACE(SUBSTITUTE(SUBSTITUTE(SUBSTITUTE(SUBSTITUTE(REGEXREPLACE(I49, ""(\[([ROYGBPTQUXZC_]|1?[0-9])\])"", ""[img=45]res://textures/icons/$2.png[/img]""),""--"",""—""),""-&gt;"",""•""),""~@"", CONCATENATE(""[i"&amp;"]"",REGEXEXTRACT(B49,""^([\s\S]*),|$""),""[/i]"")),""~"", CONCATENATE(""[i]"",B49,""[/i]"")),""(\([\s\S]*?\))"",""[i][color=#34343A]$0[/color][/i]""), ""&lt;"", ""[""), ""&gt;"", ""]""), ""[/p][p]"", ""[font_size=15]\n\n[/font_size]""), ""[br/]"", ""\n"")"),"[center][i][color=#34343A](Generators are not assets or effects. You may only play [i]Angel Pit Arena[/i] whenever you have the option to hire a generator, instead of hiring any other card as a generator.)[/color][/i][/center][p]When you hire [i]Angel Pit"&amp;" Arena[/i] choose a combatant you control; it permanently gains [u]bleeding[/u].[font_size=15]\n\n[/font_size][img=45]res://textures/icons/T.png[/img], [u]Forfeit[/u] [i][color=#34343A](Put the specified card into its owner's discard.)[/color][/i] [i]Ange"&amp;"l Pit Arena[/i]: You may search your deck of an Emotion or Entropy card; if you do, hire it as a generator, then shuffle your deck.[/p]")</f>
        <v xml:space="preserve">[center][i][color=#34343A](Generators are not assets or effects. You may only play [i]Angel Pit Arena[/i] whenever you have the option to hire a generator, instead of hiring any other card as a generator.)[/color][/i][/center][p]When you hire [i]Angel Pit Arena[/i] choose a combatant you control; it permanently gains [u]bleeding[/u].[font_size=15]\n\n[/font_size][img=45]res://textures/icons/T.png[/img], [u]Forfeit[/u] [i][color=#34343A](Put the specified card into its owner's discard.)[/color][/i] [i]Angel Pit Arena[/i]: You may search your deck of an Emotion or Entropy card; if you do, hire it as a generator, then shuffle your deck.[/p]</v>
      </c>
      <c r="W49" s="6" t="str">
        <f t="shared" si="1"/>
        <v>[i]Generator[/i]</v>
      </c>
      <c r="X49" s="1" t="str">
        <f t="shared" si="2"/>
        <v>RS_RYPG</v>
      </c>
      <c r="Y49" s="1"/>
    </row>
    <row r="50" ht="38.25">
      <c r="A50" s="7" t="s">
        <v>203</v>
      </c>
      <c r="B50" s="7" t="str">
        <f t="shared" si="4"/>
        <v>M_CMDR_RG_001</v>
      </c>
      <c r="C50" s="8"/>
      <c r="D50" s="9" t="str">
        <f>IFERROR(__xludf.DUMMYFUNCTION("IF(ISBLANK(A50),"""",SWITCH(IF(T50="""",0,COUNTA(SPLIT(T50,"" ""))),0,""Generic"",1,TRIM(T50),2,""Multicolor"",3,""Multicolor"",4,""Multicolor"",5,""Multicolor"",6,""Multicolor"",7,""Multicolor"",8,""Multicolor""))"),"Generic")</f>
        <v>Generic</v>
      </c>
      <c r="E50" s="1"/>
      <c r="F50" s="1"/>
      <c r="G50" s="11" t="s">
        <v>204</v>
      </c>
      <c r="H50" s="21" t="s">
        <v>204</v>
      </c>
      <c r="I50" s="11" t="s">
        <v>204</v>
      </c>
      <c r="J50" s="11" t="s">
        <v>204</v>
      </c>
      <c r="K50" s="11" t="e">
        <v>#VALUE!</v>
      </c>
      <c r="L50" s="11" t="e">
        <v>#VALUE!</v>
      </c>
      <c r="M50" s="11"/>
      <c r="O50" s="11" t="s">
        <v>205</v>
      </c>
      <c r="Q50" s="7">
        <v>60</v>
      </c>
      <c r="R50" s="7">
        <v>50</v>
      </c>
      <c r="S50" s="1" t="str">
        <f t="shared" si="0"/>
        <v>#VALUE!</v>
      </c>
      <c r="T50" s="6" t="str">
        <f>IFERROR(__xludf.DUMMYFUNCTION("CONCATENATE(if(REGEXMATCH(C50,""R""),"" Red"",""""),if(REGEXMATCH(C50,""O""),"" Orange"",""""),if(REGEXMATCH(C50,""Y""),"" Yellow"",""""),if(REGEXMATCH(C50,""G""),"" Green"",""""),if(REGEXMATCH(C50,""B""),"" Blue"",""""),if(REGEXMATCH(C50,""P""),"" Purple"&amp;""",""""))"),"")</f>
        <v/>
      </c>
      <c r="U50" s="6" t="str">
        <f>IFERROR(__xludf.DUMMYFUNCTION("TRIM(CONCAT(""[right]"", REGEXREPLACE(C50, ""([ROYGBPXZC_]|1?[0-9])"", ""[img=119]res://textures/icons/$0.png[/img]\\n"")))"),"[right]")</f>
        <v>[right]</v>
      </c>
      <c r="V50" s="1" t="str">
        <f>IFERROR(__xludf.DUMMYFUNCTION("SUBSTITUTE(SUBSTITUTE(SUBSTITUTE(SUBSTITUTE(REGEXREPLACE(SUBSTITUTE(SUBSTITUTE(SUBSTITUTE(SUBSTITUTE(REGEXREPLACE(I50, ""(\[([ROYGBPTQUXZC_]|1?[0-9])\])"", ""[img=45]res://textures/icons/$2.png[/img]""),""--"",""—""),""-&gt;"",""•""),""~@"", CONCATENATE(""[i"&amp;"]"",REGEXEXTRACT(B50,""^([\s\S]*),|$""),""[/i]"")),""~"", CONCATENATE(""[i]"",B50,""[/i]"")),""(\([\s\S]*?\))"",""[i][color=#34343A]$0[/color][/i]""), ""&lt;"", ""[""), ""&gt;"", ""]""), ""[/p][p]"", ""[font_size=15]\n\n[/font_size]""), ""[br/]"", ""\n"")"),"robot reanimator")</f>
        <v xml:space="preserve">robot reanimator</v>
      </c>
      <c r="W50" s="6" t="str">
        <f t="shared" si="1"/>
        <v>[i][/i]</v>
      </c>
      <c r="X50" s="1" t="str">
        <f t="shared" si="2"/>
        <v>0</v>
      </c>
      <c r="Y50" s="1"/>
    </row>
    <row r="51">
      <c r="A51" s="7" t="s">
        <v>48</v>
      </c>
      <c r="B51" s="6" t="str">
        <f t="shared" si="4"/>
        <v>R</v>
      </c>
      <c r="C51" s="2"/>
      <c r="D51" s="9" t="str">
        <f>IFERROR(__xludf.DUMMYFUNCTION("IF(ISBLANK(A51),"""",SWITCH(IF(T51="""",0,COUNTA(SPLIT(T51,"" ""))),0,""Generic"",1,TRIM(T51),2,""Multicolor"",3,""Multicolor"",4,""Multicolor"",5,""Multicolor"",6,""Multicolor"",7,""Multicolor"",8,""Multicolor""))"),"Generic")</f>
        <v>Generic</v>
      </c>
      <c r="E51" s="1"/>
      <c r="F51" s="1"/>
      <c r="G51" s="1"/>
      <c r="H51" s="3"/>
      <c r="I51" s="4"/>
      <c r="J51" s="4"/>
      <c r="K51" s="1" t="s">
        <v>39</v>
      </c>
      <c r="L51" s="1" t="s">
        <v>39</v>
      </c>
      <c r="M51" s="1"/>
      <c r="O51" s="1"/>
      <c r="Q51" s="7">
        <v>60</v>
      </c>
      <c r="R51" s="7">
        <v>50</v>
      </c>
      <c r="S51" s="1" t="str">
        <f t="shared" si="0"/>
        <v>False</v>
      </c>
      <c r="T51" s="6" t="str">
        <f>IFERROR(__xludf.DUMMYFUNCTION("CONCATENATE(if(REGEXMATCH(C51,""R""),"" Red"",""""),if(REGEXMATCH(C51,""O""),"" Orange"",""""),if(REGEXMATCH(C51,""Y""),"" Yellow"",""""),if(REGEXMATCH(C51,""G""),"" Green"",""""),if(REGEXMATCH(C51,""B""),"" Blue"",""""),if(REGEXMATCH(C51,""P""),"" Purple"&amp;""",""""))"),"")</f>
        <v/>
      </c>
      <c r="U51" s="6" t="str">
        <f>IFERROR(__xludf.DUMMYFUNCTION("TRIM(CONCAT(""[right]"", REGEXREPLACE(C51, ""([ROYGBPXZC_]|1?[0-9])"", ""[img=119]res://textures/icons/$0.png[/img]\\n"")))"),"[right]")</f>
        <v>[right]</v>
      </c>
      <c r="V51" s="1" t="str">
        <f>IFERROR(__xludf.DUMMYFUNCTION("SUBSTITUTE(SUBSTITUTE(SUBSTITUTE(SUBSTITUTE(REGEXREPLACE(SUBSTITUTE(SUBSTITUTE(SUBSTITUTE(SUBSTITUTE(REGEXREPLACE(I51, ""(\[([ROYGBPTQUXZC_]|1?[0-9])\])"", ""[img=45]res://textures/icons/$2.png[/img]""),""--"",""—""),""-&gt;"",""•""),""~@"", CONCATENATE(""[i"&amp;"]"",REGEXEXTRACT(B51,""^([\s\S]*),|$""),""[/i]"")),""~"", CONCATENATE(""[i]"",B51,""[/i]"")),""(\([\s\S]*?\))"",""[i][color=#34343A]$0[/color][/i]""), ""&lt;"", ""[""), ""&gt;"", ""]""), ""[/p][p]"", ""[font_size=15]\n\n[/font_size]""), ""[br/]"", ""\n"")"),"")</f>
        <v/>
      </c>
      <c r="W51" s="6" t="str">
        <f t="shared" si="1"/>
        <v>[i][/i]</v>
      </c>
      <c r="X51" s="1" t="str">
        <f t="shared" si="2"/>
        <v>0</v>
      </c>
      <c r="Y51" s="1"/>
    </row>
    <row r="52">
      <c r="A52" s="7" t="s">
        <v>48</v>
      </c>
      <c r="B52" s="6" t="str">
        <f t="shared" si="4"/>
        <v>R</v>
      </c>
      <c r="C52" s="8"/>
      <c r="D52" s="9" t="str">
        <f>IFERROR(__xludf.DUMMYFUNCTION("IF(ISBLANK(A52),"""",SWITCH(IF(T52="""",0,COUNTA(SPLIT(T52,"" ""))),0,""Generic"",1,TRIM(T52),2,""Multicolor"",3,""Multicolor"",4,""Multicolor"",5,""Multicolor"",6,""Multicolor"",7,""Multicolor"",8,""Multicolor""))"),"Generic")</f>
        <v>Generic</v>
      </c>
      <c r="E52" s="1"/>
      <c r="F52" s="1"/>
      <c r="H52" s="10"/>
      <c r="I52" s="11"/>
      <c r="J52" s="11"/>
      <c r="K52" s="6" t="s">
        <v>39</v>
      </c>
      <c r="L52" s="6" t="s">
        <v>39</v>
      </c>
      <c r="Q52" s="7">
        <v>60</v>
      </c>
      <c r="R52" s="7">
        <v>50</v>
      </c>
      <c r="S52" s="1" t="str">
        <f t="shared" si="0"/>
        <v>False</v>
      </c>
      <c r="T52" s="6" t="str">
        <f>IFERROR(__xludf.DUMMYFUNCTION("CONCATENATE(if(REGEXMATCH(C52,""R""),"" Red"",""""),if(REGEXMATCH(C52,""O""),"" Orange"",""""),if(REGEXMATCH(C52,""Y""),"" Yellow"",""""),if(REGEXMATCH(C52,""G""),"" Green"",""""),if(REGEXMATCH(C52,""B""),"" Blue"",""""),if(REGEXMATCH(C52,""P""),"" Purple"&amp;""",""""))"),"")</f>
        <v/>
      </c>
      <c r="U52" s="6" t="str">
        <f>IFERROR(__xludf.DUMMYFUNCTION("TRIM(CONCAT(""[right]"", REGEXREPLACE(C52, ""([ROYGBPXZC_]|1?[0-9])"", ""[img=119]res://textures/icons/$0.png[/img]\\n"")))"),"[right]")</f>
        <v>[right]</v>
      </c>
      <c r="V52" s="1" t="str">
        <f>IFERROR(__xludf.DUMMYFUNCTION("SUBSTITUTE(SUBSTITUTE(SUBSTITUTE(SUBSTITUTE(REGEXREPLACE(SUBSTITUTE(SUBSTITUTE(SUBSTITUTE(SUBSTITUTE(REGEXREPLACE(I52, ""(\[([ROYGBPTQUXZC_]|1?[0-9])\])"", ""[img=45]res://textures/icons/$2.png[/img]""),""--"",""—""),""-&gt;"",""•""),""~@"", CONCATENATE(""[i"&amp;"]"",REGEXEXTRACT(B52,""^([\s\S]*),|$""),""[/i]"")),""~"", CONCATENATE(""[i]"",B52,""[/i]"")),""(\([\s\S]*?\))"",""[i][color=#34343A]$0[/color][/i]""), ""&lt;"", ""[""), ""&gt;"", ""]""), ""[/p][p]"", ""[font_size=15]\n\n[/font_size]""), ""[br/]"", ""\n"")"),"")</f>
        <v/>
      </c>
      <c r="W52" s="6" t="str">
        <f t="shared" si="1"/>
        <v>[i][/i]</v>
      </c>
      <c r="X52" s="1" t="str">
        <f t="shared" si="2"/>
        <v>0</v>
      </c>
      <c r="Y52" s="1"/>
    </row>
    <row r="53">
      <c r="A53" s="7" t="s">
        <v>48</v>
      </c>
      <c r="B53" s="6" t="str">
        <f t="shared" si="4"/>
        <v>R</v>
      </c>
      <c r="C53" s="8"/>
      <c r="D53" s="9" t="str">
        <f>IFERROR(__xludf.DUMMYFUNCTION("IF(ISBLANK(A53),"""",SWITCH(IF(T53="""",0,COUNTA(SPLIT(T53,"" ""))),0,""Generic"",1,TRIM(T53),2,""Multicolor"",3,""Multicolor"",4,""Multicolor"",5,""Multicolor"",6,""Multicolor"",7,""Multicolor"",8,""Multicolor""))"),"Generic")</f>
        <v>Generic</v>
      </c>
      <c r="E53" s="1"/>
      <c r="F53" s="1"/>
      <c r="H53" s="10"/>
      <c r="I53" s="11"/>
      <c r="J53" s="11"/>
      <c r="K53" s="6" t="s">
        <v>39</v>
      </c>
      <c r="L53" s="6" t="s">
        <v>39</v>
      </c>
      <c r="O53" s="11"/>
      <c r="Q53" s="7">
        <v>60</v>
      </c>
      <c r="R53" s="7">
        <v>50</v>
      </c>
      <c r="S53" s="1" t="str">
        <f t="shared" si="0"/>
        <v>False</v>
      </c>
      <c r="T53" s="6" t="str">
        <f>IFERROR(__xludf.DUMMYFUNCTION("CONCATENATE(if(REGEXMATCH(C53,""R""),"" Red"",""""),if(REGEXMATCH(C53,""O""),"" Orange"",""""),if(REGEXMATCH(C53,""Y""),"" Yellow"",""""),if(REGEXMATCH(C53,""G""),"" Green"",""""),if(REGEXMATCH(C53,""B""),"" Blue"",""""),if(REGEXMATCH(C53,""P""),"" Purple"&amp;""",""""))"),"")</f>
        <v/>
      </c>
      <c r="U53" s="6" t="str">
        <f>IFERROR(__xludf.DUMMYFUNCTION("TRIM(CONCAT(""[right]"", REGEXREPLACE(C53, ""([ROYGBPXZC_]|1?[0-9])"", ""[img=119]res://textures/icons/$0.png[/img]\\n"")))"),"[right]")</f>
        <v>[right]</v>
      </c>
      <c r="V53" s="1" t="str">
        <f>IFERROR(__xludf.DUMMYFUNCTION("SUBSTITUTE(SUBSTITUTE(SUBSTITUTE(SUBSTITUTE(REGEXREPLACE(SUBSTITUTE(SUBSTITUTE(SUBSTITUTE(SUBSTITUTE(REGEXREPLACE(I53, ""(\[([ROYGBPTQUXZC_]|1?[0-9])\])"", ""[img=45]res://textures/icons/$2.png[/img]""),""--"",""—""),""-&gt;"",""•""),""~@"", CONCATENATE(""[i"&amp;"]"",REGEXEXTRACT(B53,""^([\s\S]*),|$""),""[/i]"")),""~"", CONCATENATE(""[i]"",B53,""[/i]"")),""(\([\s\S]*?\))"",""[i][color=#34343A]$0[/color][/i]""), ""&lt;"", ""[""), ""&gt;"", ""]""), ""[/p][p]"", ""[font_size=15]\n\n[/font_size]""), ""[br/]"", ""\n"")"),"")</f>
        <v/>
      </c>
      <c r="W53" s="6" t="str">
        <f t="shared" si="1"/>
        <v>[i][/i]</v>
      </c>
      <c r="X53" s="1" t="str">
        <f t="shared" si="2"/>
        <v>0</v>
      </c>
      <c r="Y53" s="1"/>
    </row>
    <row r="54">
      <c r="A54" s="7" t="s">
        <v>48</v>
      </c>
      <c r="B54" s="6" t="str">
        <f t="shared" si="4"/>
        <v>R</v>
      </c>
      <c r="C54" s="8"/>
      <c r="D54" s="9" t="str">
        <f>IFERROR(__xludf.DUMMYFUNCTION("IF(ISBLANK(A54),"""",SWITCH(IF(T54="""",0,COUNTA(SPLIT(T54,"" ""))),0,""Generic"",1,TRIM(T54),2,""Multicolor"",3,""Multicolor"",4,""Multicolor"",5,""Multicolor"",6,""Multicolor"",7,""Multicolor"",8,""Multicolor""))"),"Generic")</f>
        <v>Generic</v>
      </c>
      <c r="E54" s="1"/>
      <c r="F54" s="1"/>
      <c r="H54" s="10"/>
      <c r="I54" s="11"/>
      <c r="J54" s="11"/>
      <c r="K54" s="6" t="s">
        <v>39</v>
      </c>
      <c r="L54" s="6" t="s">
        <v>39</v>
      </c>
      <c r="O54" s="11"/>
      <c r="Q54" s="7">
        <v>60</v>
      </c>
      <c r="R54" s="7">
        <v>50</v>
      </c>
      <c r="S54" s="1" t="str">
        <f t="shared" si="0"/>
        <v>False</v>
      </c>
      <c r="T54" s="6" t="str">
        <f>IFERROR(__xludf.DUMMYFUNCTION("CONCATENATE(if(REGEXMATCH(C54,""R""),"" Red"",""""),if(REGEXMATCH(C54,""O""),"" Orange"",""""),if(REGEXMATCH(C54,""Y""),"" Yellow"",""""),if(REGEXMATCH(C54,""G""),"" Green"",""""),if(REGEXMATCH(C54,""B""),"" Blue"",""""),if(REGEXMATCH(C54,""P""),"" Purple"&amp;""",""""))"),"")</f>
        <v/>
      </c>
      <c r="U54" s="6" t="str">
        <f>IFERROR(__xludf.DUMMYFUNCTION("TRIM(CONCAT(""[right]"", REGEXREPLACE(C54, ""([ROYGBPXZC_]|1?[0-9])"", ""[img=119]res://textures/icons/$0.png[/img]\\n"")))"),"[right]")</f>
        <v>[right]</v>
      </c>
      <c r="V54" s="1" t="str">
        <f>IFERROR(__xludf.DUMMYFUNCTION("SUBSTITUTE(SUBSTITUTE(SUBSTITUTE(SUBSTITUTE(REGEXREPLACE(SUBSTITUTE(SUBSTITUTE(SUBSTITUTE(SUBSTITUTE(REGEXREPLACE(I54, ""(\[([ROYGBPTQUXZC_]|1?[0-9])\])"", ""[img=45]res://textures/icons/$2.png[/img]""),""--"",""—""),""-&gt;"",""•""),""~@"", CONCATENATE(""[i"&amp;"]"",REGEXEXTRACT(B54,""^([\s\S]*),|$""),""[/i]"")),""~"", CONCATENATE(""[i]"",B54,""[/i]"")),""(\([\s\S]*?\))"",""[i][color=#34343A]$0[/color][/i]""), ""&lt;"", ""[""), ""&gt;"", ""]""), ""[/p][p]"", ""[font_size=15]\n\n[/font_size]""), ""[br/]"", ""\n"")"),"")</f>
        <v/>
      </c>
      <c r="W54" s="6" t="str">
        <f t="shared" si="1"/>
        <v>[i][/i]</v>
      </c>
      <c r="X54" s="1" t="str">
        <f t="shared" si="2"/>
        <v>0</v>
      </c>
      <c r="Y54" s="1"/>
    </row>
    <row r="55">
      <c r="A55" s="7" t="s">
        <v>75</v>
      </c>
      <c r="B55" s="6" t="str">
        <f t="shared" si="4"/>
        <v>U</v>
      </c>
      <c r="C55" s="8"/>
      <c r="D55" s="9" t="str">
        <f>IFERROR(__xludf.DUMMYFUNCTION("IF(ISBLANK(A55),"""",SWITCH(IF(T55="""",0,COUNTA(SPLIT(T55,"" ""))),0,""Generic"",1,TRIM(T55),2,""Multicolor"",3,""Multicolor"",4,""Multicolor"",5,""Multicolor"",6,""Multicolor"",7,""Multicolor"",8,""Multicolor""))"),"Generic")</f>
        <v>Generic</v>
      </c>
      <c r="E55" s="1"/>
      <c r="F55" s="1"/>
      <c r="H55" s="10"/>
      <c r="I55" s="11"/>
      <c r="J55" s="11"/>
      <c r="K55" s="6" t="s">
        <v>39</v>
      </c>
      <c r="L55" s="6" t="s">
        <v>39</v>
      </c>
      <c r="O55" s="11"/>
      <c r="Q55" s="7">
        <v>60</v>
      </c>
      <c r="R55" s="7">
        <v>50</v>
      </c>
      <c r="S55" s="1" t="str">
        <f t="shared" si="0"/>
        <v>False</v>
      </c>
      <c r="T55" s="6" t="str">
        <f>IFERROR(__xludf.DUMMYFUNCTION("CONCATENATE(if(REGEXMATCH(C55,""R""),"" Red"",""""),if(REGEXMATCH(C55,""O""),"" Orange"",""""),if(REGEXMATCH(C55,""Y""),"" Yellow"",""""),if(REGEXMATCH(C55,""G""),"" Green"",""""),if(REGEXMATCH(C55,""B""),"" Blue"",""""),if(REGEXMATCH(C55,""P""),"" Purple"&amp;""",""""))"),"")</f>
        <v/>
      </c>
      <c r="U55" s="6" t="str">
        <f>IFERROR(__xludf.DUMMYFUNCTION("TRIM(CONCAT(""[right]"", REGEXREPLACE(C55, ""([ROYGBPXZC_]|1?[0-9])"", ""[img=119]res://textures/icons/$0.png[/img]\\n"")))"),"[right]")</f>
        <v>[right]</v>
      </c>
      <c r="V55" s="1" t="str">
        <f>IFERROR(__xludf.DUMMYFUNCTION("SUBSTITUTE(SUBSTITUTE(SUBSTITUTE(SUBSTITUTE(REGEXREPLACE(SUBSTITUTE(SUBSTITUTE(SUBSTITUTE(SUBSTITUTE(REGEXREPLACE(I55, ""(\[([ROYGBPTQUXZC_]|1?[0-9])\])"", ""[img=45]res://textures/icons/$2.png[/img]""),""--"",""—""),""-&gt;"",""•""),""~@"", CONCATENATE(""[i"&amp;"]"",REGEXEXTRACT(B55,""^([\s\S]*),|$""),""[/i]"")),""~"", CONCATENATE(""[i]"",B55,""[/i]"")),""(\([\s\S]*?\))"",""[i][color=#34343A]$0[/color][/i]""), ""&lt;"", ""[""), ""&gt;"", ""]""), ""[/p][p]"", ""[font_size=15]\n\n[/font_size]""), ""[br/]"", ""\n"")"),"")</f>
        <v/>
      </c>
      <c r="W55" s="6" t="str">
        <f t="shared" si="1"/>
        <v>[i][/i]</v>
      </c>
      <c r="X55" s="1" t="str">
        <f t="shared" si="2"/>
        <v>0</v>
      </c>
      <c r="Y55" s="1"/>
    </row>
    <row r="56">
      <c r="A56" s="7" t="s">
        <v>75</v>
      </c>
      <c r="B56" s="6" t="str">
        <f t="shared" si="4"/>
        <v>U</v>
      </c>
      <c r="C56" s="8"/>
      <c r="D56" s="9" t="str">
        <f>IFERROR(__xludf.DUMMYFUNCTION("IF(ISBLANK(A56),"""",SWITCH(IF(T56="""",0,COUNTA(SPLIT(T56,"" ""))),0,""Generic"",1,TRIM(T56),2,""Multicolor"",3,""Multicolor"",4,""Multicolor"",5,""Multicolor"",6,""Multicolor"",7,""Multicolor"",8,""Multicolor""))"),"Generic")</f>
        <v>Generic</v>
      </c>
      <c r="E56" s="1"/>
      <c r="F56" s="1"/>
      <c r="H56" s="10"/>
      <c r="I56" s="11"/>
      <c r="J56" s="11"/>
      <c r="K56" s="6" t="s">
        <v>39</v>
      </c>
      <c r="L56" s="6" t="s">
        <v>39</v>
      </c>
      <c r="O56" s="11"/>
      <c r="Q56" s="7">
        <v>60</v>
      </c>
      <c r="R56" s="7">
        <v>50</v>
      </c>
      <c r="S56" s="1" t="str">
        <f t="shared" si="0"/>
        <v>False</v>
      </c>
      <c r="T56" s="6" t="str">
        <f>IFERROR(__xludf.DUMMYFUNCTION("CONCATENATE(if(REGEXMATCH(C56,""R""),"" Red"",""""),if(REGEXMATCH(C56,""O""),"" Orange"",""""),if(REGEXMATCH(C56,""Y""),"" Yellow"",""""),if(REGEXMATCH(C56,""G""),"" Green"",""""),if(REGEXMATCH(C56,""B""),"" Blue"",""""),if(REGEXMATCH(C56,""P""),"" Purple"&amp;""",""""))"),"")</f>
        <v/>
      </c>
      <c r="U56" s="6" t="str">
        <f>IFERROR(__xludf.DUMMYFUNCTION("TRIM(CONCAT(""[right]"", REGEXREPLACE(C56, ""([ROYGBPXZC_]|1?[0-9])"", ""[img=119]res://textures/icons/$0.png[/img]\\n"")))"),"[right]")</f>
        <v>[right]</v>
      </c>
      <c r="V56" s="1" t="str">
        <f>IFERROR(__xludf.DUMMYFUNCTION("SUBSTITUTE(SUBSTITUTE(SUBSTITUTE(SUBSTITUTE(REGEXREPLACE(SUBSTITUTE(SUBSTITUTE(SUBSTITUTE(SUBSTITUTE(REGEXREPLACE(I56, ""(\[([ROYGBPTQUXZC_]|1?[0-9])\])"", ""[img=45]res://textures/icons/$2.png[/img]""),""--"",""—""),""-&gt;"",""•""),""~@"", CONCATENATE(""[i"&amp;"]"",REGEXEXTRACT(B56,""^([\s\S]*),|$""),""[/i]"")),""~"", CONCATENATE(""[i]"",B56,""[/i]"")),""(\([\s\S]*?\))"",""[i][color=#34343A]$0[/color][/i]""), ""&lt;"", ""[""), ""&gt;"", ""]""), ""[/p][p]"", ""[font_size=15]\n\n[/font_size]""), ""[br/]"", ""\n"")"),"")</f>
        <v/>
      </c>
      <c r="W56" s="6" t="str">
        <f t="shared" si="1"/>
        <v>[i][/i]</v>
      </c>
      <c r="X56" s="1" t="str">
        <f t="shared" si="2"/>
        <v>0</v>
      </c>
      <c r="Y56" s="1"/>
    </row>
    <row r="57">
      <c r="A57" s="7" t="s">
        <v>75</v>
      </c>
      <c r="B57" s="6" t="str">
        <f t="shared" si="4"/>
        <v>U</v>
      </c>
      <c r="C57" s="8"/>
      <c r="D57" s="9" t="str">
        <f>IFERROR(__xludf.DUMMYFUNCTION("IF(ISBLANK(A57),"""",SWITCH(IF(T57="""",0,COUNTA(SPLIT(T57,"" ""))),0,""Generic"",1,TRIM(T57),2,""Multicolor"",3,""Multicolor"",4,""Multicolor"",5,""Multicolor"",6,""Multicolor"",7,""Multicolor"",8,""Multicolor""))"),"Generic")</f>
        <v>Generic</v>
      </c>
      <c r="E57" s="1"/>
      <c r="F57" s="1"/>
      <c r="H57" s="10"/>
      <c r="I57" s="11"/>
      <c r="J57" s="11"/>
      <c r="K57" s="6" t="s">
        <v>39</v>
      </c>
      <c r="L57" s="6" t="s">
        <v>39</v>
      </c>
      <c r="O57" s="11"/>
      <c r="Q57" s="7">
        <v>60</v>
      </c>
      <c r="R57" s="7">
        <v>50</v>
      </c>
      <c r="S57" s="1" t="str">
        <f t="shared" si="0"/>
        <v>False</v>
      </c>
      <c r="T57" s="6" t="str">
        <f>IFERROR(__xludf.DUMMYFUNCTION("CONCATENATE(if(REGEXMATCH(C57,""R""),"" Red"",""""),if(REGEXMATCH(C57,""O""),"" Orange"",""""),if(REGEXMATCH(C57,""Y""),"" Yellow"",""""),if(REGEXMATCH(C57,""G""),"" Green"",""""),if(REGEXMATCH(C57,""B""),"" Blue"",""""),if(REGEXMATCH(C57,""P""),"" Purple"&amp;""",""""))"),"")</f>
        <v/>
      </c>
      <c r="U57" s="6" t="str">
        <f>IFERROR(__xludf.DUMMYFUNCTION("TRIM(CONCAT(""[right]"", REGEXREPLACE(C57, ""([ROYGBPXZC_]|1?[0-9])"", ""[img=119]res://textures/icons/$0.png[/img]\\n"")))"),"[right]")</f>
        <v>[right]</v>
      </c>
      <c r="V57" s="1" t="str">
        <f>IFERROR(__xludf.DUMMYFUNCTION("SUBSTITUTE(SUBSTITUTE(SUBSTITUTE(SUBSTITUTE(REGEXREPLACE(SUBSTITUTE(SUBSTITUTE(SUBSTITUTE(SUBSTITUTE(REGEXREPLACE(I57, ""(\[([ROYGBPTQUXZC_]|1?[0-9])\])"", ""[img=45]res://textures/icons/$2.png[/img]""),""--"",""—""),""-&gt;"",""•""),""~@"", CONCATENATE(""[i"&amp;"]"",REGEXEXTRACT(B57,""^([\s\S]*),|$""),""[/i]"")),""~"", CONCATENATE(""[i]"",B57,""[/i]"")),""(\([\s\S]*?\))"",""[i][color=#34343A]$0[/color][/i]""), ""&lt;"", ""[""), ""&gt;"", ""]""), ""[/p][p]"", ""[font_size=15]\n\n[/font_size]""), ""[br/]"", ""\n"")"),"")</f>
        <v/>
      </c>
      <c r="W57" s="6" t="str">
        <f t="shared" si="1"/>
        <v>[i][/i]</v>
      </c>
      <c r="X57" s="1" t="str">
        <f t="shared" si="2"/>
        <v>0</v>
      </c>
      <c r="Y57" s="1"/>
    </row>
    <row r="58">
      <c r="A58" s="7" t="s">
        <v>75</v>
      </c>
      <c r="B58" s="6" t="str">
        <f t="shared" si="4"/>
        <v>U</v>
      </c>
      <c r="C58" s="8"/>
      <c r="D58" s="9" t="str">
        <f>IFERROR(__xludf.DUMMYFUNCTION("IF(ISBLANK(A58),"""",SWITCH(IF(T58="""",0,COUNTA(SPLIT(T58,"" ""))),0,""Generic"",1,TRIM(T58),2,""Multicolor"",3,""Multicolor"",4,""Multicolor"",5,""Multicolor"",6,""Multicolor"",7,""Multicolor"",8,""Multicolor""))"),"Generic")</f>
        <v>Generic</v>
      </c>
      <c r="E58" s="1"/>
      <c r="F58" s="1"/>
      <c r="H58" s="10"/>
      <c r="I58" s="11"/>
      <c r="J58" s="11"/>
      <c r="K58" s="6" t="s">
        <v>39</v>
      </c>
      <c r="L58" s="6" t="s">
        <v>39</v>
      </c>
      <c r="O58" s="11"/>
      <c r="Q58" s="7">
        <v>60</v>
      </c>
      <c r="R58" s="7">
        <v>50</v>
      </c>
      <c r="S58" s="1" t="str">
        <f t="shared" si="0"/>
        <v>False</v>
      </c>
      <c r="T58" s="6" t="str">
        <f>IFERROR(__xludf.DUMMYFUNCTION("CONCATENATE(if(REGEXMATCH(C58,""R""),"" Red"",""""),if(REGEXMATCH(C58,""O""),"" Orange"",""""),if(REGEXMATCH(C58,""Y""),"" Yellow"",""""),if(REGEXMATCH(C58,""G""),"" Green"",""""),if(REGEXMATCH(C58,""B""),"" Blue"",""""),if(REGEXMATCH(C58,""P""),"" Purple"&amp;""",""""))"),"")</f>
        <v/>
      </c>
      <c r="U58" s="6" t="str">
        <f>IFERROR(__xludf.DUMMYFUNCTION("TRIM(CONCAT(""[right]"", REGEXREPLACE(C58, ""([ROYGBPXZC_]|1?[0-9])"", ""[img=119]res://textures/icons/$0.png[/img]\\n"")))"),"[right]")</f>
        <v>[right]</v>
      </c>
      <c r="V58" s="1" t="str">
        <f>IFERROR(__xludf.DUMMYFUNCTION("SUBSTITUTE(SUBSTITUTE(SUBSTITUTE(SUBSTITUTE(REGEXREPLACE(SUBSTITUTE(SUBSTITUTE(SUBSTITUTE(SUBSTITUTE(REGEXREPLACE(I58, ""(\[([ROYGBPTQUXZC_]|1?[0-9])\])"", ""[img=45]res://textures/icons/$2.png[/img]""),""--"",""—""),""-&gt;"",""•""),""~@"", CONCATENATE(""[i"&amp;"]"",REGEXEXTRACT(B58,""^([\s\S]*),|$""),""[/i]"")),""~"", CONCATENATE(""[i]"",B58,""[/i]"")),""(\([\s\S]*?\))"",""[i][color=#34343A]$0[/color][/i]""), ""&lt;"", ""[""), ""&gt;"", ""]""), ""[/p][p]"", ""[font_size=15]\n\n[/font_size]""), ""[br/]"", ""\n"")"),"")</f>
        <v/>
      </c>
      <c r="W58" s="6" t="str">
        <f t="shared" si="1"/>
        <v>[i][/i]</v>
      </c>
      <c r="X58" s="1" t="str">
        <f t="shared" si="2"/>
        <v>0</v>
      </c>
      <c r="Y58" s="1"/>
    </row>
    <row r="59">
      <c r="A59" s="7" t="s">
        <v>75</v>
      </c>
      <c r="B59" s="6" t="str">
        <f t="shared" si="4"/>
        <v>U</v>
      </c>
      <c r="C59" s="8"/>
      <c r="D59" s="9" t="str">
        <f>IFERROR(__xludf.DUMMYFUNCTION("IF(ISBLANK(A59),"""",SWITCH(IF(T59="""",0,COUNTA(SPLIT(T59,"" ""))),0,""Generic"",1,TRIM(T59),2,""Multicolor"",3,""Multicolor"",4,""Multicolor"",5,""Multicolor"",6,""Multicolor"",7,""Multicolor"",8,""Multicolor""))"),"Generic")</f>
        <v>Generic</v>
      </c>
      <c r="E59" s="1"/>
      <c r="F59" s="1"/>
      <c r="H59" s="10"/>
      <c r="I59" s="11"/>
      <c r="J59" s="11"/>
      <c r="K59" s="6" t="s">
        <v>39</v>
      </c>
      <c r="L59" s="6" t="s">
        <v>39</v>
      </c>
      <c r="O59" s="11"/>
      <c r="Q59" s="7">
        <v>60</v>
      </c>
      <c r="R59" s="7">
        <v>50</v>
      </c>
      <c r="S59" s="1" t="str">
        <f t="shared" si="0"/>
        <v>False</v>
      </c>
      <c r="T59" s="6" t="str">
        <f>IFERROR(__xludf.DUMMYFUNCTION("CONCATENATE(if(REGEXMATCH(C59,""R""),"" Red"",""""),if(REGEXMATCH(C59,""O""),"" Orange"",""""),if(REGEXMATCH(C59,""Y""),"" Yellow"",""""),if(REGEXMATCH(C59,""G""),"" Green"",""""),if(REGEXMATCH(C59,""B""),"" Blue"",""""),if(REGEXMATCH(C59,""P""),"" Purple"&amp;""",""""))"),"")</f>
        <v/>
      </c>
      <c r="U59" s="6" t="str">
        <f>IFERROR(__xludf.DUMMYFUNCTION("TRIM(CONCAT(""[right]"", REGEXREPLACE(C59, ""([ROYGBPXZC_]|1?[0-9])"", ""[img=119]res://textures/icons/$0.png[/img]\\n"")))"),"[right]")</f>
        <v>[right]</v>
      </c>
      <c r="V59" s="1" t="str">
        <f>IFERROR(__xludf.DUMMYFUNCTION("SUBSTITUTE(SUBSTITUTE(SUBSTITUTE(SUBSTITUTE(REGEXREPLACE(SUBSTITUTE(SUBSTITUTE(SUBSTITUTE(SUBSTITUTE(REGEXREPLACE(I59, ""(\[([ROYGBPTQUXZC_]|1?[0-9])\])"", ""[img=45]res://textures/icons/$2.png[/img]""),""--"",""—""),""-&gt;"",""•""),""~@"", CONCATENATE(""[i"&amp;"]"",REGEXEXTRACT(B59,""^([\s\S]*),|$""),""[/i]"")),""~"", CONCATENATE(""[i]"",B59,""[/i]"")),""(\([\s\S]*?\))"",""[i][color=#34343A]$0[/color][/i]""), ""&lt;"", ""[""), ""&gt;"", ""]""), ""[/p][p]"", ""[font_size=15]\n\n[/font_size]""), ""[br/]"", ""\n"")"),"")</f>
        <v/>
      </c>
      <c r="W59" s="6" t="str">
        <f t="shared" si="1"/>
        <v>[i][/i]</v>
      </c>
      <c r="X59" s="1" t="str">
        <f t="shared" si="2"/>
        <v>0</v>
      </c>
      <c r="Y59" s="1"/>
    </row>
    <row r="60">
      <c r="A60" s="7" t="s">
        <v>75</v>
      </c>
      <c r="B60" s="6" t="str">
        <f t="shared" si="4"/>
        <v>U</v>
      </c>
      <c r="C60" s="8"/>
      <c r="D60" s="9" t="str">
        <f>IFERROR(__xludf.DUMMYFUNCTION("IF(ISBLANK(A60),"""",SWITCH(IF(T60="""",0,COUNTA(SPLIT(T60,"" ""))),0,""Generic"",1,TRIM(T60),2,""Multicolor"",3,""Multicolor"",4,""Multicolor"",5,""Multicolor"",6,""Multicolor"",7,""Multicolor"",8,""Multicolor""))"),"Generic")</f>
        <v>Generic</v>
      </c>
      <c r="E60" s="1"/>
      <c r="F60" s="1"/>
      <c r="H60" s="10"/>
      <c r="I60" s="11"/>
      <c r="J60" s="11"/>
      <c r="K60" s="6" t="s">
        <v>39</v>
      </c>
      <c r="L60" s="6" t="s">
        <v>39</v>
      </c>
      <c r="O60" s="11"/>
      <c r="Q60" s="7">
        <v>60</v>
      </c>
      <c r="R60" s="7">
        <v>50</v>
      </c>
      <c r="S60" s="1" t="str">
        <f t="shared" si="0"/>
        <v>False</v>
      </c>
      <c r="T60" s="6" t="str">
        <f>IFERROR(__xludf.DUMMYFUNCTION("CONCATENATE(if(REGEXMATCH(C60,""R""),"" Red"",""""),if(REGEXMATCH(C60,""O""),"" Orange"",""""),if(REGEXMATCH(C60,""Y""),"" Yellow"",""""),if(REGEXMATCH(C60,""G""),"" Green"",""""),if(REGEXMATCH(C60,""B""),"" Blue"",""""),if(REGEXMATCH(C60,""P""),"" Purple"&amp;""",""""))"),"")</f>
        <v/>
      </c>
      <c r="U60" s="6" t="str">
        <f>IFERROR(__xludf.DUMMYFUNCTION("TRIM(CONCAT(""[right]"", REGEXREPLACE(C60, ""([ROYGBPXZC_]|1?[0-9])"", ""[img=119]res://textures/icons/$0.png[/img]\\n"")))"),"[right]")</f>
        <v>[right]</v>
      </c>
      <c r="V60" s="1" t="str">
        <f>IFERROR(__xludf.DUMMYFUNCTION("SUBSTITUTE(SUBSTITUTE(SUBSTITUTE(SUBSTITUTE(REGEXREPLACE(SUBSTITUTE(SUBSTITUTE(SUBSTITUTE(SUBSTITUTE(REGEXREPLACE(I60, ""(\[([ROYGBPTQUXZC_]|1?[0-9])\])"", ""[img=45]res://textures/icons/$2.png[/img]""),""--"",""—""),""-&gt;"",""•""),""~@"", CONCATENATE(""[i"&amp;"]"",REGEXEXTRACT(B60,""^([\s\S]*),|$""),""[/i]"")),""~"", CONCATENATE(""[i]"",B60,""[/i]"")),""(\([\s\S]*?\))"",""[i][color=#34343A]$0[/color][/i]""), ""&lt;"", ""[""), ""&gt;"", ""]""), ""[/p][p]"", ""[font_size=15]\n\n[/font_size]""), ""[br/]"", ""\n"")"),"")</f>
        <v/>
      </c>
      <c r="W60" s="6" t="str">
        <f t="shared" si="1"/>
        <v>[i][/i]</v>
      </c>
      <c r="X60" s="1" t="str">
        <f t="shared" si="2"/>
        <v>0</v>
      </c>
      <c r="Y60" s="1"/>
    </row>
    <row r="61">
      <c r="A61" s="7" t="s">
        <v>76</v>
      </c>
      <c r="B61" s="6" t="str">
        <f t="shared" si="4"/>
        <v>C</v>
      </c>
      <c r="C61" s="8"/>
      <c r="D61" s="9" t="str">
        <f>IFERROR(__xludf.DUMMYFUNCTION("IF(ISBLANK(A61),"""",SWITCH(IF(T61="""",0,COUNTA(SPLIT(T61,"" ""))),0,""Generic"",1,TRIM(T61),2,""Multicolor"",3,""Multicolor"",4,""Multicolor"",5,""Multicolor"",6,""Multicolor"",7,""Multicolor"",8,""Multicolor""))"),"Generic")</f>
        <v>Generic</v>
      </c>
      <c r="E61" s="1"/>
      <c r="F61" s="1"/>
      <c r="H61" s="10"/>
      <c r="I61" s="11"/>
      <c r="J61" s="11"/>
      <c r="K61" s="6" t="s">
        <v>39</v>
      </c>
      <c r="L61" s="6" t="s">
        <v>39</v>
      </c>
      <c r="O61" s="11"/>
      <c r="Q61" s="7">
        <v>60</v>
      </c>
      <c r="R61" s="7">
        <v>50</v>
      </c>
      <c r="S61" s="1" t="str">
        <f t="shared" si="0"/>
        <v>False</v>
      </c>
      <c r="T61" s="6" t="str">
        <f>IFERROR(__xludf.DUMMYFUNCTION("CONCATENATE(if(REGEXMATCH(C61,""R""),"" Red"",""""),if(REGEXMATCH(C61,""O""),"" Orange"",""""),if(REGEXMATCH(C61,""Y""),"" Yellow"",""""),if(REGEXMATCH(C61,""G""),"" Green"",""""),if(REGEXMATCH(C61,""B""),"" Blue"",""""),if(REGEXMATCH(C61,""P""),"" Purple"&amp;""",""""))"),"")</f>
        <v/>
      </c>
      <c r="U61" s="6" t="str">
        <f>IFERROR(__xludf.DUMMYFUNCTION("TRIM(CONCAT(""[right]"", REGEXREPLACE(C61, ""([ROYGBPXZC_]|1?[0-9])"", ""[img=119]res://textures/icons/$0.png[/img]\\n"")))"),"[right]")</f>
        <v>[right]</v>
      </c>
      <c r="V61" s="1" t="str">
        <f>IFERROR(__xludf.DUMMYFUNCTION("SUBSTITUTE(SUBSTITUTE(SUBSTITUTE(SUBSTITUTE(REGEXREPLACE(SUBSTITUTE(SUBSTITUTE(SUBSTITUTE(SUBSTITUTE(REGEXREPLACE(I61, ""(\[([ROYGBPTQUXZC_]|1?[0-9])\])"", ""[img=45]res://textures/icons/$2.png[/img]""),""--"",""—""),""-&gt;"",""•""),""~@"", CONCATENATE(""[i"&amp;"]"",REGEXEXTRACT(B61,""^([\s\S]*),|$""),""[/i]"")),""~"", CONCATENATE(""[i]"",B61,""[/i]"")),""(\([\s\S]*?\))"",""[i][color=#34343A]$0[/color][/i]""), ""&lt;"", ""[""), ""&gt;"", ""]""), ""[/p][p]"", ""[font_size=15]\n\n[/font_size]""), ""[br/]"", ""\n"")"),"")</f>
        <v/>
      </c>
      <c r="W61" s="6" t="str">
        <f t="shared" si="1"/>
        <v>[i][/i]</v>
      </c>
      <c r="X61" s="1" t="str">
        <f t="shared" si="2"/>
        <v>0</v>
      </c>
      <c r="Y61" s="1"/>
    </row>
    <row r="62">
      <c r="A62" s="7" t="s">
        <v>76</v>
      </c>
      <c r="B62" s="6" t="str">
        <f t="shared" si="4"/>
        <v>C</v>
      </c>
      <c r="C62" s="8"/>
      <c r="D62" s="9" t="str">
        <f>IFERROR(__xludf.DUMMYFUNCTION("IF(ISBLANK(A62),"""",SWITCH(IF(T62="""",0,COUNTA(SPLIT(T62,"" ""))),0,""Generic"",1,TRIM(T62),2,""Multicolor"",3,""Multicolor"",4,""Multicolor"",5,""Multicolor"",6,""Multicolor"",7,""Multicolor"",8,""Multicolor""))"),"Generic")</f>
        <v>Generic</v>
      </c>
      <c r="E62" s="1"/>
      <c r="F62" s="1"/>
      <c r="H62" s="10"/>
      <c r="I62" s="11"/>
      <c r="J62" s="11"/>
      <c r="K62" s="6" t="s">
        <v>39</v>
      </c>
      <c r="L62" s="6" t="s">
        <v>39</v>
      </c>
      <c r="O62" s="11"/>
      <c r="Q62" s="7">
        <v>60</v>
      </c>
      <c r="R62" s="7">
        <v>50</v>
      </c>
      <c r="S62" s="1" t="str">
        <f t="shared" si="0"/>
        <v>False</v>
      </c>
      <c r="T62" s="6" t="str">
        <f>IFERROR(__xludf.DUMMYFUNCTION("CONCATENATE(if(REGEXMATCH(C62,""R""),"" Red"",""""),if(REGEXMATCH(C62,""O""),"" Orange"",""""),if(REGEXMATCH(C62,""Y""),"" Yellow"",""""),if(REGEXMATCH(C62,""G""),"" Green"",""""),if(REGEXMATCH(C62,""B""),"" Blue"",""""),if(REGEXMATCH(C62,""P""),"" Purple"&amp;""",""""))"),"")</f>
        <v/>
      </c>
      <c r="U62" s="6" t="str">
        <f>IFERROR(__xludf.DUMMYFUNCTION("TRIM(CONCAT(""[right]"", REGEXREPLACE(C62, ""([ROYGBPXZC_]|1?[0-9])"", ""[img=119]res://textures/icons/$0.png[/img]\\n"")))"),"[right]")</f>
        <v>[right]</v>
      </c>
      <c r="V62" s="1" t="str">
        <f>IFERROR(__xludf.DUMMYFUNCTION("SUBSTITUTE(SUBSTITUTE(SUBSTITUTE(SUBSTITUTE(REGEXREPLACE(SUBSTITUTE(SUBSTITUTE(SUBSTITUTE(SUBSTITUTE(REGEXREPLACE(I62, ""(\[([ROYGBPTQUXZC_]|1?[0-9])\])"", ""[img=45]res://textures/icons/$2.png[/img]""),""--"",""—""),""-&gt;"",""•""),""~@"", CONCATENATE(""[i"&amp;"]"",REGEXEXTRACT(B62,""^([\s\S]*),|$""),""[/i]"")),""~"", CONCATENATE(""[i]"",B62,""[/i]"")),""(\([\s\S]*?\))"",""[i][color=#34343A]$0[/color][/i]""), ""&lt;"", ""[""), ""&gt;"", ""]""), ""[/p][p]"", ""[font_size=15]\n\n[/font_size]""), ""[br/]"", ""\n"")"),"")</f>
        <v/>
      </c>
      <c r="W62" s="6" t="str">
        <f t="shared" si="1"/>
        <v>[i][/i]</v>
      </c>
      <c r="X62" s="1" t="str">
        <f t="shared" si="2"/>
        <v>0</v>
      </c>
      <c r="Y62" s="1"/>
    </row>
    <row r="63">
      <c r="A63" s="7" t="s">
        <v>76</v>
      </c>
      <c r="B63" s="6" t="str">
        <f t="shared" si="4"/>
        <v>C</v>
      </c>
      <c r="C63" s="8"/>
      <c r="D63" s="9" t="str">
        <f>IFERROR(__xludf.DUMMYFUNCTION("IF(ISBLANK(A63),"""",SWITCH(IF(T63="""",0,COUNTA(SPLIT(T63,"" ""))),0,""Generic"",1,TRIM(T63),2,""Multicolor"",3,""Multicolor"",4,""Multicolor"",5,""Multicolor"",6,""Multicolor"",7,""Multicolor"",8,""Multicolor""))"),"Generic")</f>
        <v>Generic</v>
      </c>
      <c r="E63" s="1"/>
      <c r="F63" s="1"/>
      <c r="H63" s="10"/>
      <c r="I63" s="11"/>
      <c r="J63" s="11"/>
      <c r="K63" s="6" t="s">
        <v>39</v>
      </c>
      <c r="L63" s="6" t="s">
        <v>39</v>
      </c>
      <c r="O63" s="11"/>
      <c r="Q63" s="7">
        <v>60</v>
      </c>
      <c r="R63" s="7">
        <v>50</v>
      </c>
      <c r="S63" s="1" t="str">
        <f t="shared" si="0"/>
        <v>False</v>
      </c>
      <c r="T63" s="6" t="str">
        <f>IFERROR(__xludf.DUMMYFUNCTION("CONCATENATE(if(REGEXMATCH(C63,""R""),"" Red"",""""),if(REGEXMATCH(C63,""O""),"" Orange"",""""),if(REGEXMATCH(C63,""Y""),"" Yellow"",""""),if(REGEXMATCH(C63,""G""),"" Green"",""""),if(REGEXMATCH(C63,""B""),"" Blue"",""""),if(REGEXMATCH(C63,""P""),"" Purple"&amp;""",""""))"),"")</f>
        <v/>
      </c>
      <c r="U63" s="6" t="str">
        <f>IFERROR(__xludf.DUMMYFUNCTION("TRIM(CONCAT(""[right]"", REGEXREPLACE(C63, ""([ROYGBPXZC_]|1?[0-9])"", ""[img=119]res://textures/icons/$0.png[/img]\\n"")))"),"[right]")</f>
        <v>[right]</v>
      </c>
      <c r="V63" s="1" t="str">
        <f>IFERROR(__xludf.DUMMYFUNCTION("SUBSTITUTE(SUBSTITUTE(SUBSTITUTE(SUBSTITUTE(REGEXREPLACE(SUBSTITUTE(SUBSTITUTE(SUBSTITUTE(SUBSTITUTE(REGEXREPLACE(I63, ""(\[([ROYGBPTQUXZC_]|1?[0-9])\])"", ""[img=45]res://textures/icons/$2.png[/img]""),""--"",""—""),""-&gt;"",""•""),""~@"", CONCATENATE(""[i"&amp;"]"",REGEXEXTRACT(B63,""^([\s\S]*),|$""),""[/i]"")),""~"", CONCATENATE(""[i]"",B63,""[/i]"")),""(\([\s\S]*?\))"",""[i][color=#34343A]$0[/color][/i]""), ""&lt;"", ""[""), ""&gt;"", ""]""), ""[/p][p]"", ""[font_size=15]\n\n[/font_size]""), ""[br/]"", ""\n"")"),"")</f>
        <v/>
      </c>
      <c r="W63" s="6" t="str">
        <f t="shared" si="1"/>
        <v>[i][/i]</v>
      </c>
      <c r="X63" s="1" t="str">
        <f t="shared" si="2"/>
        <v>0</v>
      </c>
      <c r="Y63" s="1"/>
    </row>
    <row r="64">
      <c r="A64" s="7" t="s">
        <v>76</v>
      </c>
      <c r="B64" s="6" t="str">
        <f t="shared" si="4"/>
        <v>C</v>
      </c>
      <c r="C64" s="8"/>
      <c r="D64" s="9" t="str">
        <f>IFERROR(__xludf.DUMMYFUNCTION("IF(ISBLANK(A64),"""",SWITCH(IF(T64="""",0,COUNTA(SPLIT(T64,"" ""))),0,""Generic"",1,TRIM(T64),2,""Multicolor"",3,""Multicolor"",4,""Multicolor"",5,""Multicolor"",6,""Multicolor"",7,""Multicolor"",8,""Multicolor""))"),"Generic")</f>
        <v>Generic</v>
      </c>
      <c r="E64" s="1"/>
      <c r="F64" s="1"/>
      <c r="H64" s="10"/>
      <c r="I64" s="11"/>
      <c r="J64" s="11"/>
      <c r="K64" s="6" t="s">
        <v>39</v>
      </c>
      <c r="L64" s="6" t="s">
        <v>39</v>
      </c>
      <c r="O64" s="11"/>
      <c r="Q64" s="7">
        <v>60</v>
      </c>
      <c r="R64" s="7">
        <v>50</v>
      </c>
      <c r="S64" s="1" t="str">
        <f t="shared" si="0"/>
        <v>False</v>
      </c>
      <c r="T64" s="6" t="str">
        <f>IFERROR(__xludf.DUMMYFUNCTION("CONCATENATE(if(REGEXMATCH(C64,""R""),"" Red"",""""),if(REGEXMATCH(C64,""O""),"" Orange"",""""),if(REGEXMATCH(C64,""Y""),"" Yellow"",""""),if(REGEXMATCH(C64,""G""),"" Green"",""""),if(REGEXMATCH(C64,""B""),"" Blue"",""""),if(REGEXMATCH(C64,""P""),"" Purple"&amp;""",""""))"),"")</f>
        <v/>
      </c>
      <c r="U64" s="6" t="str">
        <f>IFERROR(__xludf.DUMMYFUNCTION("TRIM(CONCAT(""[right]"", REGEXREPLACE(C64, ""([ROYGBPXZC_]|1?[0-9])"", ""[img=119]res://textures/icons/$0.png[/img]\\n"")))"),"[right]")</f>
        <v>[right]</v>
      </c>
      <c r="V64" s="1" t="str">
        <f>IFERROR(__xludf.DUMMYFUNCTION("SUBSTITUTE(SUBSTITUTE(SUBSTITUTE(SUBSTITUTE(REGEXREPLACE(SUBSTITUTE(SUBSTITUTE(SUBSTITUTE(SUBSTITUTE(REGEXREPLACE(I64, ""(\[([ROYGBPTQUXZC_]|1?[0-9])\])"", ""[img=45]res://textures/icons/$2.png[/img]""),""--"",""—""),""-&gt;"",""•""),""~@"", CONCATENATE(""[i"&amp;"]"",REGEXEXTRACT(B64,""^([\s\S]*),|$""),""[/i]"")),""~"", CONCATENATE(""[i]"",B64,""[/i]"")),""(\([\s\S]*?\))"",""[i][color=#34343A]$0[/color][/i]""), ""&lt;"", ""[""), ""&gt;"", ""]""), ""[/p][p]"", ""[font_size=15]\n\n[/font_size]""), ""[br/]"", ""\n"")"),"")</f>
        <v/>
      </c>
      <c r="W64" s="6" t="str">
        <f t="shared" si="1"/>
        <v>[i][/i]</v>
      </c>
      <c r="X64" s="1" t="str">
        <f t="shared" si="2"/>
        <v>0</v>
      </c>
      <c r="Y64" s="1"/>
    </row>
    <row r="65">
      <c r="A65" s="7" t="s">
        <v>76</v>
      </c>
      <c r="B65" s="6" t="str">
        <f t="shared" si="4"/>
        <v>C</v>
      </c>
      <c r="C65" s="8"/>
      <c r="D65" s="9" t="str">
        <f>IFERROR(__xludf.DUMMYFUNCTION("IF(ISBLANK(A65),"""",SWITCH(IF(T65="""",0,COUNTA(SPLIT(T65,"" ""))),0,""Generic"",1,TRIM(T65),2,""Multicolor"",3,""Multicolor"",4,""Multicolor"",5,""Multicolor"",6,""Multicolor"",7,""Multicolor"",8,""Multicolor""))"),"Generic")</f>
        <v>Generic</v>
      </c>
      <c r="E65" s="1"/>
      <c r="F65" s="1"/>
      <c r="H65" s="10"/>
      <c r="I65" s="11"/>
      <c r="J65" s="11"/>
      <c r="K65" s="6" t="s">
        <v>39</v>
      </c>
      <c r="L65" s="6" t="s">
        <v>39</v>
      </c>
      <c r="O65" s="11"/>
      <c r="Q65" s="7">
        <v>60</v>
      </c>
      <c r="R65" s="7">
        <v>50</v>
      </c>
      <c r="S65" s="1" t="str">
        <f t="shared" si="0"/>
        <v>False</v>
      </c>
      <c r="T65" s="6" t="str">
        <f>IFERROR(__xludf.DUMMYFUNCTION("CONCATENATE(if(REGEXMATCH(C65,""R""),"" Red"",""""),if(REGEXMATCH(C65,""O""),"" Orange"",""""),if(REGEXMATCH(C65,""Y""),"" Yellow"",""""),if(REGEXMATCH(C65,""G""),"" Green"",""""),if(REGEXMATCH(C65,""B""),"" Blue"",""""),if(REGEXMATCH(C65,""P""),"" Purple"&amp;""",""""))"),"")</f>
        <v/>
      </c>
      <c r="U65" s="6" t="str">
        <f>IFERROR(__xludf.DUMMYFUNCTION("TRIM(CONCAT(""[right]"", REGEXREPLACE(C65, ""([ROYGBPXZC_]|1?[0-9])"", ""[img=119]res://textures/icons/$0.png[/img]\\n"")))"),"[right]")</f>
        <v>[right]</v>
      </c>
      <c r="V65" s="1" t="str">
        <f>IFERROR(__xludf.DUMMYFUNCTION("SUBSTITUTE(SUBSTITUTE(SUBSTITUTE(SUBSTITUTE(REGEXREPLACE(SUBSTITUTE(SUBSTITUTE(SUBSTITUTE(SUBSTITUTE(REGEXREPLACE(I65, ""(\[([ROYGBPTQUXZC_]|1?[0-9])\])"", ""[img=45]res://textures/icons/$2.png[/img]""),""--"",""—""),""-&gt;"",""•""),""~@"", CONCATENATE(""[i"&amp;"]"",REGEXEXTRACT(B65,""^([\s\S]*),|$""),""[/i]"")),""~"", CONCATENATE(""[i]"",B65,""[/i]"")),""(\([\s\S]*?\))"",""[i][color=#34343A]$0[/color][/i]""), ""&lt;"", ""[""), ""&gt;"", ""]""), ""[/p][p]"", ""[font_size=15]\n\n[/font_size]""), ""[br/]"", ""\n"")"),"")</f>
        <v/>
      </c>
      <c r="W65" s="6" t="str">
        <f t="shared" si="1"/>
        <v>[i][/i]</v>
      </c>
      <c r="X65" s="1" t="str">
        <f t="shared" si="2"/>
        <v>0</v>
      </c>
      <c r="Y65" s="1"/>
    </row>
    <row r="66">
      <c r="A66" s="7" t="s">
        <v>76</v>
      </c>
      <c r="B66" s="6" t="str">
        <f t="shared" si="4"/>
        <v>C</v>
      </c>
      <c r="C66" s="8"/>
      <c r="D66" s="9" t="str">
        <f>IFERROR(__xludf.DUMMYFUNCTION("IF(ISBLANK(A66),"""",SWITCH(IF(T66="""",0,COUNTA(SPLIT(T66,"" ""))),0,""Generic"",1,TRIM(T66),2,""Multicolor"",3,""Multicolor"",4,""Multicolor"",5,""Multicolor"",6,""Multicolor"",7,""Multicolor"",8,""Multicolor""))"),"Generic")</f>
        <v>Generic</v>
      </c>
      <c r="E66" s="1"/>
      <c r="F66" s="1"/>
      <c r="H66" s="10"/>
      <c r="I66" s="11"/>
      <c r="J66" s="11"/>
      <c r="K66" s="6" t="s">
        <v>39</v>
      </c>
      <c r="L66" s="6" t="s">
        <v>39</v>
      </c>
      <c r="O66" s="11"/>
      <c r="Q66" s="7">
        <v>60</v>
      </c>
      <c r="R66" s="7">
        <v>50</v>
      </c>
      <c r="S66" s="1" t="str">
        <f t="shared" ref="S66:S129" si="5">IF(ISBLANK(A66),"",IF(EQ(LEN(TRIM(K66)),0),"False","True"))</f>
        <v>False</v>
      </c>
      <c r="T66" s="6" t="str">
        <f>IFERROR(__xludf.DUMMYFUNCTION("CONCATENATE(if(REGEXMATCH(C66,""R""),"" Red"",""""),if(REGEXMATCH(C66,""O""),"" Orange"",""""),if(REGEXMATCH(C66,""Y""),"" Yellow"",""""),if(REGEXMATCH(C66,""G""),"" Green"",""""),if(REGEXMATCH(C66,""B""),"" Blue"",""""),if(REGEXMATCH(C66,""P""),"" Purple"&amp;""",""""))"),"")</f>
        <v/>
      </c>
      <c r="U66" s="6" t="str">
        <f>IFERROR(__xludf.DUMMYFUNCTION("TRIM(CONCAT(""[right]"", REGEXREPLACE(C66, ""([ROYGBPXZC_]|1?[0-9])"", ""[img=119]res://textures/icons/$0.png[/img]\\n"")))"),"[right]")</f>
        <v>[right]</v>
      </c>
      <c r="V66" s="1" t="str">
        <f>IFERROR(__xludf.DUMMYFUNCTION("SUBSTITUTE(SUBSTITUTE(SUBSTITUTE(SUBSTITUTE(REGEXREPLACE(SUBSTITUTE(SUBSTITUTE(SUBSTITUTE(SUBSTITUTE(REGEXREPLACE(I66, ""(\[([ROYGBPTQUXZC_]|1?[0-9])\])"", ""[img=45]res://textures/icons/$2.png[/img]""),""--"",""—""),""-&gt;"",""•""),""~@"", CONCATENATE(""[i"&amp;"]"",REGEXEXTRACT(B66,""^([\s\S]*),|$""),""[/i]"")),""~"", CONCATENATE(""[i]"",B66,""[/i]"")),""(\([\s\S]*?\))"",""[i][color=#34343A]$0[/color][/i]""), ""&lt;"", ""[""), ""&gt;"", ""]""), ""[/p][p]"", ""[font_size=15]\n\n[/font_size]""), ""[br/]"", ""\n"")"),"")</f>
        <v/>
      </c>
      <c r="W66" s="6" t="str">
        <f t="shared" ref="W66:W129" si="6">CONCATENATE("[i]",F66,"[/i]")</f>
        <v>[i][/i]</v>
      </c>
      <c r="X66" s="1" t="str">
        <f t="shared" ref="X66:X129" si="7">IF(EQ(A66,B66),"0",CONCATENATE("RS_",A66))</f>
        <v>0</v>
      </c>
      <c r="Y66" s="1"/>
    </row>
    <row r="67">
      <c r="A67" s="7" t="s">
        <v>76</v>
      </c>
      <c r="B67" s="6" t="str">
        <f t="shared" si="4"/>
        <v>C</v>
      </c>
      <c r="C67" s="8"/>
      <c r="D67" s="9" t="str">
        <f>IFERROR(__xludf.DUMMYFUNCTION("IF(ISBLANK(A67),"""",SWITCH(IF(T67="""",0,COUNTA(SPLIT(T67,"" ""))),0,""Generic"",1,TRIM(T67),2,""Multicolor"",3,""Multicolor"",4,""Multicolor"",5,""Multicolor"",6,""Multicolor"",7,""Multicolor"",8,""Multicolor""))"),"Generic")</f>
        <v>Generic</v>
      </c>
      <c r="E67" s="1"/>
      <c r="F67" s="1"/>
      <c r="H67" s="10"/>
      <c r="I67" s="11"/>
      <c r="J67" s="11"/>
      <c r="K67" s="6" t="s">
        <v>39</v>
      </c>
      <c r="L67" s="6" t="s">
        <v>39</v>
      </c>
      <c r="O67" s="11"/>
      <c r="Q67" s="7">
        <v>60</v>
      </c>
      <c r="R67" s="7">
        <v>50</v>
      </c>
      <c r="S67" s="1" t="str">
        <f t="shared" si="5"/>
        <v>False</v>
      </c>
      <c r="T67" s="6" t="str">
        <f>IFERROR(__xludf.DUMMYFUNCTION("CONCATENATE(if(REGEXMATCH(C67,""R""),"" Red"",""""),if(REGEXMATCH(C67,""O""),"" Orange"",""""),if(REGEXMATCH(C67,""Y""),"" Yellow"",""""),if(REGEXMATCH(C67,""G""),"" Green"",""""),if(REGEXMATCH(C67,""B""),"" Blue"",""""),if(REGEXMATCH(C67,""P""),"" Purple"&amp;""",""""))"),"")</f>
        <v/>
      </c>
      <c r="U67" s="6" t="str">
        <f>IFERROR(__xludf.DUMMYFUNCTION("TRIM(CONCAT(""[right]"", REGEXREPLACE(C67, ""([ROYGBPXZC_]|1?[0-9])"", ""[img=119]res://textures/icons/$0.png[/img]\\n"")))"),"[right]")</f>
        <v>[right]</v>
      </c>
      <c r="V67" s="1" t="str">
        <f>IFERROR(__xludf.DUMMYFUNCTION("SUBSTITUTE(SUBSTITUTE(SUBSTITUTE(SUBSTITUTE(REGEXREPLACE(SUBSTITUTE(SUBSTITUTE(SUBSTITUTE(SUBSTITUTE(REGEXREPLACE(I67, ""(\[([ROYGBPTQUXZC_]|1?[0-9])\])"", ""[img=45]res://textures/icons/$2.png[/img]""),""--"",""—""),""-&gt;"",""•""),""~@"", CONCATENATE(""[i"&amp;"]"",REGEXEXTRACT(B67,""^([\s\S]*),|$""),""[/i]"")),""~"", CONCATENATE(""[i]"",B67,""[/i]"")),""(\([\s\S]*?\))"",""[i][color=#34343A]$0[/color][/i]""), ""&lt;"", ""[""), ""&gt;"", ""]""), ""[/p][p]"", ""[font_size=15]\n\n[/font_size]""), ""[br/]"", ""\n"")"),"")</f>
        <v/>
      </c>
      <c r="W67" s="6" t="str">
        <f t="shared" si="6"/>
        <v>[i][/i]</v>
      </c>
      <c r="X67" s="1" t="str">
        <f t="shared" si="7"/>
        <v>0</v>
      </c>
      <c r="Y67" s="1"/>
    </row>
    <row r="68">
      <c r="A68" s="7" t="s">
        <v>76</v>
      </c>
      <c r="B68" s="6" t="str">
        <f t="shared" si="4"/>
        <v>C</v>
      </c>
      <c r="C68" s="8"/>
      <c r="D68" s="9" t="str">
        <f>IFERROR(__xludf.DUMMYFUNCTION("IF(ISBLANK(A68),"""",SWITCH(IF(T68="""",0,COUNTA(SPLIT(T68,"" ""))),0,""Generic"",1,TRIM(T68),2,""Multicolor"",3,""Multicolor"",4,""Multicolor"",5,""Multicolor"",6,""Multicolor"",7,""Multicolor"",8,""Multicolor""))"),"Generic")</f>
        <v>Generic</v>
      </c>
      <c r="E68" s="1"/>
      <c r="F68" s="1"/>
      <c r="H68" s="10"/>
      <c r="I68" s="11"/>
      <c r="J68" s="11"/>
      <c r="K68" s="6" t="s">
        <v>39</v>
      </c>
      <c r="L68" s="6" t="s">
        <v>39</v>
      </c>
      <c r="O68" s="11"/>
      <c r="Q68" s="7">
        <v>60</v>
      </c>
      <c r="R68" s="7">
        <v>50</v>
      </c>
      <c r="S68" s="1" t="str">
        <f t="shared" si="5"/>
        <v>False</v>
      </c>
      <c r="T68" s="6" t="str">
        <f>IFERROR(__xludf.DUMMYFUNCTION("CONCATENATE(if(REGEXMATCH(C68,""R""),"" Red"",""""),if(REGEXMATCH(C68,""O""),"" Orange"",""""),if(REGEXMATCH(C68,""Y""),"" Yellow"",""""),if(REGEXMATCH(C68,""G""),"" Green"",""""),if(REGEXMATCH(C68,""B""),"" Blue"",""""),if(REGEXMATCH(C68,""P""),"" Purple"&amp;""",""""))"),"")</f>
        <v/>
      </c>
      <c r="U68" s="6" t="str">
        <f>IFERROR(__xludf.DUMMYFUNCTION("TRIM(CONCAT(""[right]"", REGEXREPLACE(C68, ""([ROYGBPXZC_]|1?[0-9])"", ""[img=119]res://textures/icons/$0.png[/img]\\n"")))"),"[right]")</f>
        <v>[right]</v>
      </c>
      <c r="V68" s="1" t="str">
        <f>IFERROR(__xludf.DUMMYFUNCTION("SUBSTITUTE(SUBSTITUTE(SUBSTITUTE(SUBSTITUTE(REGEXREPLACE(SUBSTITUTE(SUBSTITUTE(SUBSTITUTE(SUBSTITUTE(REGEXREPLACE(I68, ""(\[([ROYGBPTQUXZC_]|1?[0-9])\])"", ""[img=45]res://textures/icons/$2.png[/img]""),""--"",""—""),""-&gt;"",""•""),""~@"", CONCATENATE(""[i"&amp;"]"",REGEXEXTRACT(B68,""^([\s\S]*),|$""),""[/i]"")),""~"", CONCATENATE(""[i]"",B68,""[/i]"")),""(\([\s\S]*?\))"",""[i][color=#34343A]$0[/color][/i]""), ""&lt;"", ""[""), ""&gt;"", ""]""), ""[/p][p]"", ""[font_size=15]\n\n[/font_size]""), ""[br/]"", ""\n"")"),"")</f>
        <v/>
      </c>
      <c r="W68" s="6" t="str">
        <f t="shared" si="6"/>
        <v>[i][/i]</v>
      </c>
      <c r="X68" s="1" t="str">
        <f t="shared" si="7"/>
        <v>0</v>
      </c>
      <c r="Y68" s="1"/>
    </row>
    <row r="69">
      <c r="A69" s="7" t="s">
        <v>76</v>
      </c>
      <c r="B69" s="6" t="str">
        <f t="shared" si="4"/>
        <v>C</v>
      </c>
      <c r="C69" s="8"/>
      <c r="D69" s="9" t="str">
        <f>IFERROR(__xludf.DUMMYFUNCTION("IF(ISBLANK(A69),"""",SWITCH(IF(T69="""",0,COUNTA(SPLIT(T69,"" ""))),0,""Generic"",1,TRIM(T69),2,""Multicolor"",3,""Multicolor"",4,""Multicolor"",5,""Multicolor"",6,""Multicolor"",7,""Multicolor"",8,""Multicolor""))"),"Generic")</f>
        <v>Generic</v>
      </c>
      <c r="E69" s="1"/>
      <c r="F69" s="1"/>
      <c r="H69" s="10"/>
      <c r="I69" s="11"/>
      <c r="J69" s="11"/>
      <c r="K69" s="6" t="s">
        <v>39</v>
      </c>
      <c r="L69" s="6" t="s">
        <v>39</v>
      </c>
      <c r="O69" s="11"/>
      <c r="Q69" s="7">
        <v>60</v>
      </c>
      <c r="R69" s="7">
        <v>50</v>
      </c>
      <c r="S69" s="1" t="str">
        <f t="shared" si="5"/>
        <v>False</v>
      </c>
      <c r="T69" s="6" t="str">
        <f>IFERROR(__xludf.DUMMYFUNCTION("CONCATENATE(if(REGEXMATCH(C69,""R""),"" Red"",""""),if(REGEXMATCH(C69,""O""),"" Orange"",""""),if(REGEXMATCH(C69,""Y""),"" Yellow"",""""),if(REGEXMATCH(C69,""G""),"" Green"",""""),if(REGEXMATCH(C69,""B""),"" Blue"",""""),if(REGEXMATCH(C69,""P""),"" Purple"&amp;""",""""))"),"")</f>
        <v/>
      </c>
      <c r="U69" s="6" t="str">
        <f>IFERROR(__xludf.DUMMYFUNCTION("TRIM(CONCAT(""[right]"", REGEXREPLACE(C69, ""([ROYGBPXZC_]|1?[0-9])"", ""[img=119]res://textures/icons/$0.png[/img]\\n"")))"),"[right]")</f>
        <v>[right]</v>
      </c>
      <c r="V69" s="1" t="str">
        <f>IFERROR(__xludf.DUMMYFUNCTION("SUBSTITUTE(SUBSTITUTE(SUBSTITUTE(SUBSTITUTE(REGEXREPLACE(SUBSTITUTE(SUBSTITUTE(SUBSTITUTE(SUBSTITUTE(REGEXREPLACE(I69, ""(\[([ROYGBPTQUXZC_]|1?[0-9])\])"", ""[img=45]res://textures/icons/$2.png[/img]""),""--"",""—""),""-&gt;"",""•""),""~@"", CONCATENATE(""[i"&amp;"]"",REGEXEXTRACT(B69,""^([\s\S]*),|$""),""[/i]"")),""~"", CONCATENATE(""[i]"",B69,""[/i]"")),""(\([\s\S]*?\))"",""[i][color=#34343A]$0[/color][/i]""), ""&lt;"", ""[""), ""&gt;"", ""]""), ""[/p][p]"", ""[font_size=15]\n\n[/font_size]""), ""[br/]"", ""\n"")"),"")</f>
        <v/>
      </c>
      <c r="W69" s="6" t="str">
        <f t="shared" si="6"/>
        <v>[i][/i]</v>
      </c>
      <c r="X69" s="1" t="str">
        <f t="shared" si="7"/>
        <v>0</v>
      </c>
      <c r="Y69" s="1"/>
    </row>
    <row r="70">
      <c r="A70" s="7" t="s">
        <v>206</v>
      </c>
      <c r="B70" s="7" t="str">
        <f t="shared" si="4"/>
        <v>M_CMDR_RB_001</v>
      </c>
      <c r="C70" s="8"/>
      <c r="D70" s="9" t="str">
        <f>IFERROR(__xludf.DUMMYFUNCTION("IF(ISBLANK(A70),"""",SWITCH(IF(T70="""",0,COUNTA(SPLIT(T70,"" ""))),0,""Generic"",1,TRIM(T70),2,""Multicolor"",3,""Multicolor"",4,""Multicolor"",5,""Multicolor"",6,""Multicolor"",7,""Multicolor"",8,""Multicolor""))"),"Generic")</f>
        <v>Generic</v>
      </c>
      <c r="E70" s="1"/>
      <c r="F70" s="1"/>
      <c r="G70" s="11" t="s">
        <v>207</v>
      </c>
      <c r="H70" s="21" t="s">
        <v>207</v>
      </c>
      <c r="I70" s="11" t="s">
        <v>207</v>
      </c>
      <c r="J70" s="11" t="s">
        <v>207</v>
      </c>
      <c r="K70" s="11" t="e">
        <v>#VALUE!</v>
      </c>
      <c r="L70" s="11" t="e">
        <v>#VALUE!</v>
      </c>
      <c r="M70" s="11"/>
      <c r="O70" s="11" t="s">
        <v>207</v>
      </c>
      <c r="Q70" s="7">
        <v>60</v>
      </c>
      <c r="R70" s="7">
        <v>50</v>
      </c>
      <c r="S70" s="1" t="str">
        <f t="shared" si="5"/>
        <v>#VALUE!</v>
      </c>
      <c r="T70" s="6" t="str">
        <f>IFERROR(__xludf.DUMMYFUNCTION("CONCATENATE(if(REGEXMATCH(C70,""R""),"" Red"",""""),if(REGEXMATCH(C70,""O""),"" Orange"",""""),if(REGEXMATCH(C70,""Y""),"" Yellow"",""""),if(REGEXMATCH(C70,""G""),"" Green"",""""),if(REGEXMATCH(C70,""B""),"" Blue"",""""),if(REGEXMATCH(C70,""P""),"" Purple"&amp;""",""""))"),"")</f>
        <v/>
      </c>
      <c r="U70" s="6" t="str">
        <f>IFERROR(__xludf.DUMMYFUNCTION("TRIM(CONCAT(""[right]"", REGEXREPLACE(C70, ""([ROYGBPXZC_]|1?[0-9])"", ""[img=119]res://textures/icons/$0.png[/img]\\n"")))"),"[right]")</f>
        <v>[right]</v>
      </c>
      <c r="V70" s="1" t="str">
        <f>IFERROR(__xludf.DUMMYFUNCTION("SUBSTITUTE(SUBSTITUTE(SUBSTITUTE(SUBSTITUTE(REGEXREPLACE(SUBSTITUTE(SUBSTITUTE(SUBSTITUTE(SUBSTITUTE(REGEXREPLACE(I70, ""(\[([ROYGBPTQUXZC_]|1?[0-9])\])"", ""[img=45]res://textures/icons/$2.png[/img]""),""--"",""—""),""-&gt;"",""•""),""~@"", CONCATENATE(""[i"&amp;"]"",REGEXEXTRACT(B70,""^([\s\S]*),|$""),""[/i]"")),""~"", CONCATENATE(""[i]"",B70,""[/i]"")),""(\([\s\S]*?\))"",""[i][color=#34343A]$0[/color][/i]""), ""&lt;"", ""[""), ""&gt;"", ""]""), ""[/p][p]"", ""[font_size=15]\n\n[/font_size]""), ""[br/]"", ""\n"")"),"self mill")</f>
        <v xml:space="preserve">self mill</v>
      </c>
      <c r="W70" s="6" t="str">
        <f t="shared" si="6"/>
        <v>[i][/i]</v>
      </c>
      <c r="X70" s="1" t="str">
        <f t="shared" si="7"/>
        <v>0</v>
      </c>
      <c r="Y70" s="1"/>
    </row>
    <row r="71">
      <c r="A71" s="7" t="s">
        <v>48</v>
      </c>
      <c r="B71" s="6" t="str">
        <f t="shared" si="4"/>
        <v>R</v>
      </c>
      <c r="C71" s="8"/>
      <c r="D71" s="9" t="str">
        <f>IFERROR(__xludf.DUMMYFUNCTION("IF(ISBLANK(A71),"""",SWITCH(IF(T71="""",0,COUNTA(SPLIT(T71,"" ""))),0,""Generic"",1,TRIM(T71),2,""Multicolor"",3,""Multicolor"",4,""Multicolor"",5,""Multicolor"",6,""Multicolor"",7,""Multicolor"",8,""Multicolor""))"),"Generic")</f>
        <v>Generic</v>
      </c>
      <c r="E71" s="1"/>
      <c r="F71" s="1"/>
      <c r="H71" s="10"/>
      <c r="I71" s="11"/>
      <c r="J71" s="11"/>
      <c r="K71" s="6" t="s">
        <v>39</v>
      </c>
      <c r="L71" s="6" t="s">
        <v>39</v>
      </c>
      <c r="O71" s="11"/>
      <c r="Q71" s="7">
        <v>60</v>
      </c>
      <c r="R71" s="7">
        <v>50</v>
      </c>
      <c r="S71" s="1" t="str">
        <f t="shared" si="5"/>
        <v>False</v>
      </c>
      <c r="T71" s="6" t="str">
        <f>IFERROR(__xludf.DUMMYFUNCTION("CONCATENATE(if(REGEXMATCH(C71,""R""),"" Red"",""""),if(REGEXMATCH(C71,""O""),"" Orange"",""""),if(REGEXMATCH(C71,""Y""),"" Yellow"",""""),if(REGEXMATCH(C71,""G""),"" Green"",""""),if(REGEXMATCH(C71,""B""),"" Blue"",""""),if(REGEXMATCH(C71,""P""),"" Purple"&amp;""",""""))"),"")</f>
        <v/>
      </c>
      <c r="U71" s="6" t="str">
        <f>IFERROR(__xludf.DUMMYFUNCTION("TRIM(CONCAT(""[right]"", REGEXREPLACE(C71, ""([ROYGBPXZC_]|1?[0-9])"", ""[img=119]res://textures/icons/$0.png[/img]\\n"")))"),"[right]")</f>
        <v>[right]</v>
      </c>
      <c r="V71" s="1" t="str">
        <f>IFERROR(__xludf.DUMMYFUNCTION("SUBSTITUTE(SUBSTITUTE(SUBSTITUTE(SUBSTITUTE(REGEXREPLACE(SUBSTITUTE(SUBSTITUTE(SUBSTITUTE(SUBSTITUTE(REGEXREPLACE(I71, ""(\[([ROYGBPTQUXZC_]|1?[0-9])\])"", ""[img=45]res://textures/icons/$2.png[/img]""),""--"",""—""),""-&gt;"",""•""),""~@"", CONCATENATE(""[i"&amp;"]"",REGEXEXTRACT(B71,""^([\s\S]*),|$""),""[/i]"")),""~"", CONCATENATE(""[i]"",B71,""[/i]"")),""(\([\s\S]*?\))"",""[i][color=#34343A]$0[/color][/i]""), ""&lt;"", ""[""), ""&gt;"", ""]""), ""[/p][p]"", ""[font_size=15]\n\n[/font_size]""), ""[br/]"", ""\n"")"),"")</f>
        <v/>
      </c>
      <c r="W71" s="6" t="str">
        <f t="shared" si="6"/>
        <v>[i][/i]</v>
      </c>
      <c r="X71" s="1" t="str">
        <f t="shared" si="7"/>
        <v>0</v>
      </c>
      <c r="Y71" s="1"/>
    </row>
    <row r="72">
      <c r="A72" s="7" t="s">
        <v>48</v>
      </c>
      <c r="B72" s="6" t="str">
        <f t="shared" si="4"/>
        <v>R</v>
      </c>
      <c r="C72" s="8"/>
      <c r="D72" s="9" t="str">
        <f>IFERROR(__xludf.DUMMYFUNCTION("IF(ISBLANK(A72),"""",SWITCH(IF(T72="""",0,COUNTA(SPLIT(T72,"" ""))),0,""Generic"",1,TRIM(T72),2,""Multicolor"",3,""Multicolor"",4,""Multicolor"",5,""Multicolor"",6,""Multicolor"",7,""Multicolor"",8,""Multicolor""))"),"Generic")</f>
        <v>Generic</v>
      </c>
      <c r="E72" s="1"/>
      <c r="F72" s="1"/>
      <c r="H72" s="10"/>
      <c r="I72" s="11"/>
      <c r="J72" s="11"/>
      <c r="K72" s="6" t="s">
        <v>39</v>
      </c>
      <c r="L72" s="6" t="s">
        <v>39</v>
      </c>
      <c r="O72" s="11"/>
      <c r="Q72" s="7">
        <v>60</v>
      </c>
      <c r="R72" s="7">
        <v>50</v>
      </c>
      <c r="S72" s="1" t="str">
        <f t="shared" si="5"/>
        <v>False</v>
      </c>
      <c r="T72" s="6" t="str">
        <f>IFERROR(__xludf.DUMMYFUNCTION("CONCATENATE(if(REGEXMATCH(C72,""R""),"" Red"",""""),if(REGEXMATCH(C72,""O""),"" Orange"",""""),if(REGEXMATCH(C72,""Y""),"" Yellow"",""""),if(REGEXMATCH(C72,""G""),"" Green"",""""),if(REGEXMATCH(C72,""B""),"" Blue"",""""),if(REGEXMATCH(C72,""P""),"" Purple"&amp;""",""""))"),"")</f>
        <v/>
      </c>
      <c r="U72" s="6" t="str">
        <f>IFERROR(__xludf.DUMMYFUNCTION("TRIM(CONCAT(""[right]"", REGEXREPLACE(C72, ""([ROYGBPXZC_]|1?[0-9])"", ""[img=119]res://textures/icons/$0.png[/img]\\n"")))"),"[right]")</f>
        <v>[right]</v>
      </c>
      <c r="V72" s="1" t="str">
        <f>IFERROR(__xludf.DUMMYFUNCTION("SUBSTITUTE(SUBSTITUTE(SUBSTITUTE(SUBSTITUTE(REGEXREPLACE(SUBSTITUTE(SUBSTITUTE(SUBSTITUTE(SUBSTITUTE(REGEXREPLACE(I72, ""(\[([ROYGBPTQUXZC_]|1?[0-9])\])"", ""[img=45]res://textures/icons/$2.png[/img]""),""--"",""—""),""-&gt;"",""•""),""~@"", CONCATENATE(""[i"&amp;"]"",REGEXEXTRACT(B72,""^([\s\S]*),|$""),""[/i]"")),""~"", CONCATENATE(""[i]"",B72,""[/i]"")),""(\([\s\S]*?\))"",""[i][color=#34343A]$0[/color][/i]""), ""&lt;"", ""[""), ""&gt;"", ""]""), ""[/p][p]"", ""[font_size=15]\n\n[/font_size]""), ""[br/]"", ""\n"")"),"")</f>
        <v/>
      </c>
      <c r="W72" s="6" t="str">
        <f t="shared" si="6"/>
        <v>[i][/i]</v>
      </c>
      <c r="X72" s="1" t="str">
        <f t="shared" si="7"/>
        <v>0</v>
      </c>
      <c r="Y72" s="1"/>
    </row>
    <row r="73">
      <c r="A73" s="7" t="s">
        <v>48</v>
      </c>
      <c r="B73" s="6" t="str">
        <f t="shared" si="4"/>
        <v>R</v>
      </c>
      <c r="C73" s="8"/>
      <c r="D73" s="9" t="str">
        <f>IFERROR(__xludf.DUMMYFUNCTION("IF(ISBLANK(A73),"""",SWITCH(IF(T73="""",0,COUNTA(SPLIT(T73,"" ""))),0,""Generic"",1,TRIM(T73),2,""Multicolor"",3,""Multicolor"",4,""Multicolor"",5,""Multicolor"",6,""Multicolor"",7,""Multicolor"",8,""Multicolor""))"),"Generic")</f>
        <v>Generic</v>
      </c>
      <c r="E73" s="1"/>
      <c r="F73" s="1"/>
      <c r="H73" s="10"/>
      <c r="I73" s="11"/>
      <c r="J73" s="11"/>
      <c r="K73" s="6" t="s">
        <v>39</v>
      </c>
      <c r="L73" s="6" t="s">
        <v>39</v>
      </c>
      <c r="Q73" s="7">
        <v>60</v>
      </c>
      <c r="R73" s="7">
        <v>50</v>
      </c>
      <c r="S73" s="1" t="str">
        <f t="shared" si="5"/>
        <v>False</v>
      </c>
      <c r="T73" s="6" t="str">
        <f>IFERROR(__xludf.DUMMYFUNCTION("CONCATENATE(if(REGEXMATCH(C73,""R""),"" Red"",""""),if(REGEXMATCH(C73,""O""),"" Orange"",""""),if(REGEXMATCH(C73,""Y""),"" Yellow"",""""),if(REGEXMATCH(C73,""G""),"" Green"",""""),if(REGEXMATCH(C73,""B""),"" Blue"",""""),if(REGEXMATCH(C73,""P""),"" Purple"&amp;""",""""))"),"")</f>
        <v/>
      </c>
      <c r="U73" s="6" t="str">
        <f>IFERROR(__xludf.DUMMYFUNCTION("TRIM(CONCAT(""[right]"", REGEXREPLACE(C73, ""([ROYGBPXZC_]|1?[0-9])"", ""[img=119]res://textures/icons/$0.png[/img]\\n"")))"),"[right]")</f>
        <v>[right]</v>
      </c>
      <c r="V73" s="1" t="str">
        <f>IFERROR(__xludf.DUMMYFUNCTION("SUBSTITUTE(SUBSTITUTE(SUBSTITUTE(SUBSTITUTE(REGEXREPLACE(SUBSTITUTE(SUBSTITUTE(SUBSTITUTE(SUBSTITUTE(REGEXREPLACE(I73, ""(\[([ROYGBPTQUXZC_]|1?[0-9])\])"", ""[img=45]res://textures/icons/$2.png[/img]""),""--"",""—""),""-&gt;"",""•""),""~@"", CONCATENATE(""[i"&amp;"]"",REGEXEXTRACT(B73,""^([\s\S]*),|$""),""[/i]"")),""~"", CONCATENATE(""[i]"",B73,""[/i]"")),""(\([\s\S]*?\))"",""[i][color=#34343A]$0[/color][/i]""), ""&lt;"", ""[""), ""&gt;"", ""]""), ""[/p][p]"", ""[font_size=15]\n\n[/font_size]""), ""[br/]"", ""\n"")"),"")</f>
        <v/>
      </c>
      <c r="W73" s="6" t="str">
        <f t="shared" si="6"/>
        <v>[i][/i]</v>
      </c>
      <c r="X73" s="1" t="str">
        <f t="shared" si="7"/>
        <v>0</v>
      </c>
      <c r="Y73" s="1"/>
    </row>
    <row r="74">
      <c r="A74" s="7" t="s">
        <v>48</v>
      </c>
      <c r="B74" s="6" t="str">
        <f t="shared" si="4"/>
        <v>R</v>
      </c>
      <c r="C74" s="8"/>
      <c r="D74" s="9" t="str">
        <f>IFERROR(__xludf.DUMMYFUNCTION("IF(ISBLANK(A74),"""",SWITCH(IF(T74="""",0,COUNTA(SPLIT(T74,"" ""))),0,""Generic"",1,TRIM(T74),2,""Multicolor"",3,""Multicolor"",4,""Multicolor"",5,""Multicolor"",6,""Multicolor"",7,""Multicolor"",8,""Multicolor""))"),"Generic")</f>
        <v>Generic</v>
      </c>
      <c r="E74" s="1"/>
      <c r="F74" s="1"/>
      <c r="H74" s="10"/>
      <c r="I74" s="11"/>
      <c r="J74" s="11"/>
      <c r="K74" s="6" t="s">
        <v>39</v>
      </c>
      <c r="L74" s="6" t="s">
        <v>39</v>
      </c>
      <c r="Q74" s="7">
        <v>60</v>
      </c>
      <c r="R74" s="7">
        <v>50</v>
      </c>
      <c r="S74" s="1" t="str">
        <f t="shared" si="5"/>
        <v>False</v>
      </c>
      <c r="T74" s="6" t="str">
        <f>IFERROR(__xludf.DUMMYFUNCTION("CONCATENATE(if(REGEXMATCH(C74,""R""),"" Red"",""""),if(REGEXMATCH(C74,""O""),"" Orange"",""""),if(REGEXMATCH(C74,""Y""),"" Yellow"",""""),if(REGEXMATCH(C74,""G""),"" Green"",""""),if(REGEXMATCH(C74,""B""),"" Blue"",""""),if(REGEXMATCH(C74,""P""),"" Purple"&amp;""",""""))"),"")</f>
        <v/>
      </c>
      <c r="U74" s="6" t="str">
        <f>IFERROR(__xludf.DUMMYFUNCTION("TRIM(CONCAT(""[right]"", REGEXREPLACE(C74, ""([ROYGBPXZC_]|1?[0-9])"", ""[img=119]res://textures/icons/$0.png[/img]\\n"")))"),"[right]")</f>
        <v>[right]</v>
      </c>
      <c r="V74" s="1" t="str">
        <f>IFERROR(__xludf.DUMMYFUNCTION("SUBSTITUTE(SUBSTITUTE(SUBSTITUTE(SUBSTITUTE(REGEXREPLACE(SUBSTITUTE(SUBSTITUTE(SUBSTITUTE(SUBSTITUTE(REGEXREPLACE(I74, ""(\[([ROYGBPTQUXZC_]|1?[0-9])\])"", ""[img=45]res://textures/icons/$2.png[/img]""),""--"",""—""),""-&gt;"",""•""),""~@"", CONCATENATE(""[i"&amp;"]"",REGEXEXTRACT(B74,""^([\s\S]*),|$""),""[/i]"")),""~"", CONCATENATE(""[i]"",B74,""[/i]"")),""(\([\s\S]*?\))"",""[i][color=#34343A]$0[/color][/i]""), ""&lt;"", ""[""), ""&gt;"", ""]""), ""[/p][p]"", ""[font_size=15]\n\n[/font_size]""), ""[br/]"", ""\n"")"),"")</f>
        <v/>
      </c>
      <c r="W74" s="6" t="str">
        <f t="shared" si="6"/>
        <v>[i][/i]</v>
      </c>
      <c r="X74" s="1" t="str">
        <f t="shared" si="7"/>
        <v>0</v>
      </c>
      <c r="Y74" s="1"/>
    </row>
    <row r="75">
      <c r="A75" s="7" t="s">
        <v>75</v>
      </c>
      <c r="B75" s="6" t="str">
        <f t="shared" si="4"/>
        <v>U</v>
      </c>
      <c r="C75" s="8"/>
      <c r="D75" s="9" t="str">
        <f>IFERROR(__xludf.DUMMYFUNCTION("IF(ISBLANK(A75),"""",SWITCH(IF(T75="""",0,COUNTA(SPLIT(T75,"" ""))),0,""Generic"",1,TRIM(T75),2,""Multicolor"",3,""Multicolor"",4,""Multicolor"",5,""Multicolor"",6,""Multicolor"",7,""Multicolor"",8,""Multicolor""))"),"Generic")</f>
        <v>Generic</v>
      </c>
      <c r="E75" s="1"/>
      <c r="F75" s="1"/>
      <c r="H75" s="10"/>
      <c r="I75" s="11"/>
      <c r="J75" s="11"/>
      <c r="K75" s="6" t="s">
        <v>39</v>
      </c>
      <c r="L75" s="6" t="s">
        <v>39</v>
      </c>
      <c r="Q75" s="7">
        <v>60</v>
      </c>
      <c r="R75" s="7">
        <v>50</v>
      </c>
      <c r="S75" s="1" t="str">
        <f t="shared" si="5"/>
        <v>False</v>
      </c>
      <c r="T75" s="6" t="str">
        <f>IFERROR(__xludf.DUMMYFUNCTION("CONCATENATE(if(REGEXMATCH(C75,""R""),"" Red"",""""),if(REGEXMATCH(C75,""O""),"" Orange"",""""),if(REGEXMATCH(C75,""Y""),"" Yellow"",""""),if(REGEXMATCH(C75,""G""),"" Green"",""""),if(REGEXMATCH(C75,""B""),"" Blue"",""""),if(REGEXMATCH(C75,""P""),"" Purple"&amp;""",""""))"),"")</f>
        <v/>
      </c>
      <c r="U75" s="6" t="str">
        <f>IFERROR(__xludf.DUMMYFUNCTION("TRIM(CONCAT(""[right]"", REGEXREPLACE(C75, ""([ROYGBPXZC_]|1?[0-9])"", ""[img=119]res://textures/icons/$0.png[/img]\\n"")))"),"[right]")</f>
        <v>[right]</v>
      </c>
      <c r="V75" s="1" t="str">
        <f>IFERROR(__xludf.DUMMYFUNCTION("SUBSTITUTE(SUBSTITUTE(SUBSTITUTE(SUBSTITUTE(REGEXREPLACE(SUBSTITUTE(SUBSTITUTE(SUBSTITUTE(SUBSTITUTE(REGEXREPLACE(I75, ""(\[([ROYGBPTQUXZC_]|1?[0-9])\])"", ""[img=45]res://textures/icons/$2.png[/img]""),""--"",""—""),""-&gt;"",""•""),""~@"", CONCATENATE(""[i"&amp;"]"",REGEXEXTRACT(B75,""^([\s\S]*),|$""),""[/i]"")),""~"", CONCATENATE(""[i]"",B75,""[/i]"")),""(\([\s\S]*?\))"",""[i][color=#34343A]$0[/color][/i]""), ""&lt;"", ""[""), ""&gt;"", ""]""), ""[/p][p]"", ""[font_size=15]\n\n[/font_size]""), ""[br/]"", ""\n"")"),"")</f>
        <v/>
      </c>
      <c r="W75" s="6" t="str">
        <f t="shared" si="6"/>
        <v>[i][/i]</v>
      </c>
      <c r="X75" s="1" t="str">
        <f t="shared" si="7"/>
        <v>0</v>
      </c>
      <c r="Y75" s="1"/>
    </row>
    <row r="76">
      <c r="A76" s="7" t="s">
        <v>75</v>
      </c>
      <c r="B76" s="6" t="str">
        <f t="shared" si="4"/>
        <v>U</v>
      </c>
      <c r="C76" s="8"/>
      <c r="D76" s="9" t="str">
        <f>IFERROR(__xludf.DUMMYFUNCTION("IF(ISBLANK(A76),"""",SWITCH(IF(T76="""",0,COUNTA(SPLIT(T76,"" ""))),0,""Generic"",1,TRIM(T76),2,""Multicolor"",3,""Multicolor"",4,""Multicolor"",5,""Multicolor"",6,""Multicolor"",7,""Multicolor"",8,""Multicolor""))"),"Generic")</f>
        <v>Generic</v>
      </c>
      <c r="E76" s="1"/>
      <c r="F76" s="1"/>
      <c r="H76" s="10"/>
      <c r="I76" s="11"/>
      <c r="J76" s="11"/>
      <c r="K76" s="6" t="s">
        <v>39</v>
      </c>
      <c r="L76" s="6" t="s">
        <v>39</v>
      </c>
      <c r="Q76" s="7">
        <v>60</v>
      </c>
      <c r="R76" s="7">
        <v>50</v>
      </c>
      <c r="S76" s="1" t="str">
        <f t="shared" si="5"/>
        <v>False</v>
      </c>
      <c r="T76" s="6" t="str">
        <f>IFERROR(__xludf.DUMMYFUNCTION("CONCATENATE(if(REGEXMATCH(C76,""R""),"" Red"",""""),if(REGEXMATCH(C76,""O""),"" Orange"",""""),if(REGEXMATCH(C76,""Y""),"" Yellow"",""""),if(REGEXMATCH(C76,""G""),"" Green"",""""),if(REGEXMATCH(C76,""B""),"" Blue"",""""),if(REGEXMATCH(C76,""P""),"" Purple"&amp;""",""""))"),"")</f>
        <v/>
      </c>
      <c r="U76" s="6" t="str">
        <f>IFERROR(__xludf.DUMMYFUNCTION("TRIM(CONCAT(""[right]"", REGEXREPLACE(C76, ""([ROYGBPXZC_]|1?[0-9])"", ""[img=119]res://textures/icons/$0.png[/img]\\n"")))"),"[right]")</f>
        <v>[right]</v>
      </c>
      <c r="V76" s="1" t="str">
        <f>IFERROR(__xludf.DUMMYFUNCTION("SUBSTITUTE(SUBSTITUTE(SUBSTITUTE(SUBSTITUTE(REGEXREPLACE(SUBSTITUTE(SUBSTITUTE(SUBSTITUTE(SUBSTITUTE(REGEXREPLACE(I76, ""(\[([ROYGBPTQUXZC_]|1?[0-9])\])"", ""[img=45]res://textures/icons/$2.png[/img]""),""--"",""—""),""-&gt;"",""•""),""~@"", CONCATENATE(""[i"&amp;"]"",REGEXEXTRACT(B76,""^([\s\S]*),|$""),""[/i]"")),""~"", CONCATENATE(""[i]"",B76,""[/i]"")),""(\([\s\S]*?\))"",""[i][color=#34343A]$0[/color][/i]""), ""&lt;"", ""[""), ""&gt;"", ""]""), ""[/p][p]"", ""[font_size=15]\n\n[/font_size]""), ""[br/]"", ""\n"")"),"")</f>
        <v/>
      </c>
      <c r="W76" s="6" t="str">
        <f t="shared" si="6"/>
        <v>[i][/i]</v>
      </c>
      <c r="X76" s="1" t="str">
        <f t="shared" si="7"/>
        <v>0</v>
      </c>
      <c r="Y76" s="1"/>
    </row>
    <row r="77">
      <c r="A77" s="7" t="s">
        <v>75</v>
      </c>
      <c r="B77" s="6" t="str">
        <f t="shared" ref="B77:B101" si="8">A77</f>
        <v>U</v>
      </c>
      <c r="C77" s="8"/>
      <c r="D77" s="9" t="str">
        <f>IFERROR(__xludf.DUMMYFUNCTION("IF(ISBLANK(A77),"""",SWITCH(IF(T77="""",0,COUNTA(SPLIT(T77,"" ""))),0,""Generic"",1,TRIM(T77),2,""Multicolor"",3,""Multicolor"",4,""Multicolor"",5,""Multicolor"",6,""Multicolor"",7,""Multicolor"",8,""Multicolor""))"),"Generic")</f>
        <v>Generic</v>
      </c>
      <c r="E77" s="1"/>
      <c r="F77" s="1"/>
      <c r="H77" s="10"/>
      <c r="I77" s="11"/>
      <c r="J77" s="11"/>
      <c r="K77" s="6" t="s">
        <v>39</v>
      </c>
      <c r="L77" s="6" t="s">
        <v>39</v>
      </c>
      <c r="Q77" s="7">
        <v>60</v>
      </c>
      <c r="R77" s="7">
        <v>50</v>
      </c>
      <c r="S77" s="1" t="str">
        <f t="shared" si="5"/>
        <v>False</v>
      </c>
      <c r="T77" s="6" t="str">
        <f>IFERROR(__xludf.DUMMYFUNCTION("CONCATENATE(if(REGEXMATCH(C77,""R""),"" Red"",""""),if(REGEXMATCH(C77,""O""),"" Orange"",""""),if(REGEXMATCH(C77,""Y""),"" Yellow"",""""),if(REGEXMATCH(C77,""G""),"" Green"",""""),if(REGEXMATCH(C77,""B""),"" Blue"",""""),if(REGEXMATCH(C77,""P""),"" Purple"&amp;""",""""))"),"")</f>
        <v/>
      </c>
      <c r="U77" s="6" t="str">
        <f>IFERROR(__xludf.DUMMYFUNCTION("TRIM(CONCAT(""[right]"", REGEXREPLACE(C77, ""([ROYGBPXZC_]|1?[0-9])"", ""[img=119]res://textures/icons/$0.png[/img]\\n"")))"),"[right]")</f>
        <v>[right]</v>
      </c>
      <c r="V77" s="1" t="str">
        <f>IFERROR(__xludf.DUMMYFUNCTION("SUBSTITUTE(SUBSTITUTE(SUBSTITUTE(SUBSTITUTE(REGEXREPLACE(SUBSTITUTE(SUBSTITUTE(SUBSTITUTE(SUBSTITUTE(REGEXREPLACE(I77, ""(\[([ROYGBPTQUXZC_]|1?[0-9])\])"", ""[img=45]res://textures/icons/$2.png[/img]""),""--"",""—""),""-&gt;"",""•""),""~@"", CONCATENATE(""[i"&amp;"]"",REGEXEXTRACT(B77,""^([\s\S]*),|$""),""[/i]"")),""~"", CONCATENATE(""[i]"",B77,""[/i]"")),""(\([\s\S]*?\))"",""[i][color=#34343A]$0[/color][/i]""), ""&lt;"", ""[""), ""&gt;"", ""]""), ""[/p][p]"", ""[font_size=15]\n\n[/font_size]""), ""[br/]"", ""\n"")"),"")</f>
        <v/>
      </c>
      <c r="W77" s="6" t="str">
        <f t="shared" si="6"/>
        <v>[i][/i]</v>
      </c>
      <c r="X77" s="1" t="str">
        <f t="shared" si="7"/>
        <v>0</v>
      </c>
      <c r="Y77" s="1"/>
    </row>
    <row r="78">
      <c r="A78" s="7" t="s">
        <v>75</v>
      </c>
      <c r="B78" s="6" t="str">
        <f t="shared" si="8"/>
        <v>U</v>
      </c>
      <c r="C78" s="8"/>
      <c r="D78" s="9" t="str">
        <f>IFERROR(__xludf.DUMMYFUNCTION("IF(ISBLANK(A78),"""",SWITCH(IF(T78="""",0,COUNTA(SPLIT(T78,"" ""))),0,""Generic"",1,TRIM(T78),2,""Multicolor"",3,""Multicolor"",4,""Multicolor"",5,""Multicolor"",6,""Multicolor"",7,""Multicolor"",8,""Multicolor""))"),"Generic")</f>
        <v>Generic</v>
      </c>
      <c r="E78" s="1"/>
      <c r="F78" s="1"/>
      <c r="H78" s="10"/>
      <c r="I78" s="11"/>
      <c r="J78" s="11"/>
      <c r="K78" s="6" t="s">
        <v>39</v>
      </c>
      <c r="L78" s="6" t="s">
        <v>39</v>
      </c>
      <c r="Q78" s="7">
        <v>60</v>
      </c>
      <c r="R78" s="7">
        <v>50</v>
      </c>
      <c r="S78" s="1" t="str">
        <f t="shared" si="5"/>
        <v>False</v>
      </c>
      <c r="T78" s="6" t="str">
        <f>IFERROR(__xludf.DUMMYFUNCTION("CONCATENATE(if(REGEXMATCH(C78,""R""),"" Red"",""""),if(REGEXMATCH(C78,""O""),"" Orange"",""""),if(REGEXMATCH(C78,""Y""),"" Yellow"",""""),if(REGEXMATCH(C78,""G""),"" Green"",""""),if(REGEXMATCH(C78,""B""),"" Blue"",""""),if(REGEXMATCH(C78,""P""),"" Purple"&amp;""",""""))"),"")</f>
        <v/>
      </c>
      <c r="U78" s="6" t="str">
        <f>IFERROR(__xludf.DUMMYFUNCTION("TRIM(CONCAT(""[right]"", REGEXREPLACE(C78, ""([ROYGBPXZC_]|1?[0-9])"", ""[img=119]res://textures/icons/$0.png[/img]\\n"")))"),"[right]")</f>
        <v>[right]</v>
      </c>
      <c r="V78" s="1" t="str">
        <f>IFERROR(__xludf.DUMMYFUNCTION("SUBSTITUTE(SUBSTITUTE(SUBSTITUTE(SUBSTITUTE(REGEXREPLACE(SUBSTITUTE(SUBSTITUTE(SUBSTITUTE(SUBSTITUTE(REGEXREPLACE(I78, ""(\[([ROYGBPTQUXZC_]|1?[0-9])\])"", ""[img=45]res://textures/icons/$2.png[/img]""),""--"",""—""),""-&gt;"",""•""),""~@"", CONCATENATE(""[i"&amp;"]"",REGEXEXTRACT(B78,""^([\s\S]*),|$""),""[/i]"")),""~"", CONCATENATE(""[i]"",B78,""[/i]"")),""(\([\s\S]*?\))"",""[i][color=#34343A]$0[/color][/i]""), ""&lt;"", ""[""), ""&gt;"", ""]""), ""[/p][p]"", ""[font_size=15]\n\n[/font_size]""), ""[br/]"", ""\n"")"),"")</f>
        <v/>
      </c>
      <c r="W78" s="6" t="str">
        <f t="shared" si="6"/>
        <v>[i][/i]</v>
      </c>
      <c r="X78" s="1" t="str">
        <f t="shared" si="7"/>
        <v>0</v>
      </c>
      <c r="Y78" s="1"/>
    </row>
    <row r="79">
      <c r="A79" s="7" t="s">
        <v>75</v>
      </c>
      <c r="B79" s="6" t="str">
        <f t="shared" si="8"/>
        <v>U</v>
      </c>
      <c r="C79" s="8"/>
      <c r="D79" s="9" t="str">
        <f>IFERROR(__xludf.DUMMYFUNCTION("IF(ISBLANK(A79),"""",SWITCH(IF(T79="""",0,COUNTA(SPLIT(T79,"" ""))),0,""Generic"",1,TRIM(T79),2,""Multicolor"",3,""Multicolor"",4,""Multicolor"",5,""Multicolor"",6,""Multicolor"",7,""Multicolor"",8,""Multicolor""))"),"Generic")</f>
        <v>Generic</v>
      </c>
      <c r="E79" s="1"/>
      <c r="F79" s="1"/>
      <c r="H79" s="10"/>
      <c r="I79" s="11"/>
      <c r="J79" s="11"/>
      <c r="K79" s="6" t="s">
        <v>39</v>
      </c>
      <c r="L79" s="6" t="s">
        <v>39</v>
      </c>
      <c r="Q79" s="7">
        <v>60</v>
      </c>
      <c r="R79" s="7">
        <v>50</v>
      </c>
      <c r="S79" s="1" t="str">
        <f t="shared" si="5"/>
        <v>False</v>
      </c>
      <c r="T79" s="6" t="str">
        <f>IFERROR(__xludf.DUMMYFUNCTION("CONCATENATE(if(REGEXMATCH(C79,""R""),"" Red"",""""),if(REGEXMATCH(C79,""O""),"" Orange"",""""),if(REGEXMATCH(C79,""Y""),"" Yellow"",""""),if(REGEXMATCH(C79,""G""),"" Green"",""""),if(REGEXMATCH(C79,""B""),"" Blue"",""""),if(REGEXMATCH(C79,""P""),"" Purple"&amp;""",""""))"),"")</f>
        <v/>
      </c>
      <c r="U79" s="6" t="str">
        <f>IFERROR(__xludf.DUMMYFUNCTION("TRIM(CONCAT(""[right]"", REGEXREPLACE(C79, ""([ROYGBPXZC_]|1?[0-9])"", ""[img=119]res://textures/icons/$0.png[/img]\\n"")))"),"[right]")</f>
        <v>[right]</v>
      </c>
      <c r="V79" s="1" t="str">
        <f>IFERROR(__xludf.DUMMYFUNCTION("SUBSTITUTE(SUBSTITUTE(SUBSTITUTE(SUBSTITUTE(REGEXREPLACE(SUBSTITUTE(SUBSTITUTE(SUBSTITUTE(SUBSTITUTE(REGEXREPLACE(I79, ""(\[([ROYGBPTQUXZC_]|1?[0-9])\])"", ""[img=45]res://textures/icons/$2.png[/img]""),""--"",""—""),""-&gt;"",""•""),""~@"", CONCATENATE(""[i"&amp;"]"",REGEXEXTRACT(B79,""^([\s\S]*),|$""),""[/i]"")),""~"", CONCATENATE(""[i]"",B79,""[/i]"")),""(\([\s\S]*?\))"",""[i][color=#34343A]$0[/color][/i]""), ""&lt;"", ""[""), ""&gt;"", ""]""), ""[/p][p]"", ""[font_size=15]\n\n[/font_size]""), ""[br/]"", ""\n"")"),"")</f>
        <v/>
      </c>
      <c r="W79" s="6" t="str">
        <f t="shared" si="6"/>
        <v>[i][/i]</v>
      </c>
      <c r="X79" s="1" t="str">
        <f t="shared" si="7"/>
        <v>0</v>
      </c>
      <c r="Y79" s="1"/>
    </row>
    <row r="80">
      <c r="A80" s="7" t="s">
        <v>75</v>
      </c>
      <c r="B80" s="6" t="str">
        <f t="shared" si="8"/>
        <v>U</v>
      </c>
      <c r="C80" s="8"/>
      <c r="D80" s="9" t="str">
        <f>IFERROR(__xludf.DUMMYFUNCTION("IF(ISBLANK(A80),"""",SWITCH(IF(T80="""",0,COUNTA(SPLIT(T80,"" ""))),0,""Generic"",1,TRIM(T80),2,""Multicolor"",3,""Multicolor"",4,""Multicolor"",5,""Multicolor"",6,""Multicolor"",7,""Multicolor"",8,""Multicolor""))"),"Generic")</f>
        <v>Generic</v>
      </c>
      <c r="E80" s="1"/>
      <c r="F80" s="1"/>
      <c r="H80" s="10"/>
      <c r="I80" s="11"/>
      <c r="J80" s="11"/>
      <c r="K80" s="6" t="s">
        <v>39</v>
      </c>
      <c r="L80" s="6" t="s">
        <v>39</v>
      </c>
      <c r="O80" s="11"/>
      <c r="Q80" s="7">
        <v>60</v>
      </c>
      <c r="R80" s="7">
        <v>50</v>
      </c>
      <c r="S80" s="1" t="str">
        <f t="shared" si="5"/>
        <v>False</v>
      </c>
      <c r="T80" s="6" t="str">
        <f>IFERROR(__xludf.DUMMYFUNCTION("CONCATENATE(if(REGEXMATCH(C80,""R""),"" Red"",""""),if(REGEXMATCH(C80,""O""),"" Orange"",""""),if(REGEXMATCH(C80,""Y""),"" Yellow"",""""),if(REGEXMATCH(C80,""G""),"" Green"",""""),if(REGEXMATCH(C80,""B""),"" Blue"",""""),if(REGEXMATCH(C80,""P""),"" Purple"&amp;""",""""))"),"")</f>
        <v/>
      </c>
      <c r="U80" s="6" t="str">
        <f>IFERROR(__xludf.DUMMYFUNCTION("TRIM(CONCAT(""[right]"", REGEXREPLACE(C80, ""([ROYGBPXZC_]|1?[0-9])"", ""[img=119]res://textures/icons/$0.png[/img]\\n"")))"),"[right]")</f>
        <v>[right]</v>
      </c>
      <c r="V80" s="1" t="str">
        <f>IFERROR(__xludf.DUMMYFUNCTION("SUBSTITUTE(SUBSTITUTE(SUBSTITUTE(SUBSTITUTE(REGEXREPLACE(SUBSTITUTE(SUBSTITUTE(SUBSTITUTE(SUBSTITUTE(REGEXREPLACE(I80, ""(\[([ROYGBPTQUXZC_]|1?[0-9])\])"", ""[img=45]res://textures/icons/$2.png[/img]""),""--"",""—""),""-&gt;"",""•""),""~@"", CONCATENATE(""[i"&amp;"]"",REGEXEXTRACT(B80,""^([\s\S]*),|$""),""[/i]"")),""~"", CONCATENATE(""[i]"",B80,""[/i]"")),""(\([\s\S]*?\))"",""[i][color=#34343A]$0[/color][/i]""), ""&lt;"", ""[""), ""&gt;"", ""]""), ""[/p][p]"", ""[font_size=15]\n\n[/font_size]""), ""[br/]"", ""\n"")"),"")</f>
        <v/>
      </c>
      <c r="W80" s="6" t="str">
        <f t="shared" si="6"/>
        <v>[i][/i]</v>
      </c>
      <c r="X80" s="1" t="str">
        <f t="shared" si="7"/>
        <v>0</v>
      </c>
      <c r="Y80" s="1"/>
    </row>
    <row r="81">
      <c r="A81" s="7" t="s">
        <v>76</v>
      </c>
      <c r="B81" s="6" t="str">
        <f t="shared" si="8"/>
        <v>C</v>
      </c>
      <c r="C81" s="8"/>
      <c r="D81" s="9" t="str">
        <f>IFERROR(__xludf.DUMMYFUNCTION("IF(ISBLANK(A81),"""",SWITCH(IF(T81="""",0,COUNTA(SPLIT(T81,"" ""))),0,""Generic"",1,TRIM(T81),2,""Multicolor"",3,""Multicolor"",4,""Multicolor"",5,""Multicolor"",6,""Multicolor"",7,""Multicolor"",8,""Multicolor""))"),"Generic")</f>
        <v>Generic</v>
      </c>
      <c r="E81" s="1"/>
      <c r="F81" s="1"/>
      <c r="H81" s="10"/>
      <c r="I81" s="11"/>
      <c r="J81" s="11"/>
      <c r="K81" s="6" t="s">
        <v>39</v>
      </c>
      <c r="L81" s="6" t="s">
        <v>39</v>
      </c>
      <c r="O81" s="11"/>
      <c r="Q81" s="7">
        <v>60</v>
      </c>
      <c r="R81" s="7">
        <v>50</v>
      </c>
      <c r="S81" s="1" t="str">
        <f t="shared" si="5"/>
        <v>False</v>
      </c>
      <c r="T81" s="6" t="str">
        <f>IFERROR(__xludf.DUMMYFUNCTION("CONCATENATE(if(REGEXMATCH(C81,""R""),"" Red"",""""),if(REGEXMATCH(C81,""O""),"" Orange"",""""),if(REGEXMATCH(C81,""Y""),"" Yellow"",""""),if(REGEXMATCH(C81,""G""),"" Green"",""""),if(REGEXMATCH(C81,""B""),"" Blue"",""""),if(REGEXMATCH(C81,""P""),"" Purple"&amp;""",""""))"),"")</f>
        <v/>
      </c>
      <c r="U81" s="6" t="str">
        <f>IFERROR(__xludf.DUMMYFUNCTION("TRIM(CONCAT(""[right]"", REGEXREPLACE(C81, ""([ROYGBPXZC_]|1?[0-9])"", ""[img=119]res://textures/icons/$0.png[/img]\\n"")))"),"[right]")</f>
        <v>[right]</v>
      </c>
      <c r="V81" s="1" t="str">
        <f>IFERROR(__xludf.DUMMYFUNCTION("SUBSTITUTE(SUBSTITUTE(SUBSTITUTE(SUBSTITUTE(REGEXREPLACE(SUBSTITUTE(SUBSTITUTE(SUBSTITUTE(SUBSTITUTE(REGEXREPLACE(I81, ""(\[([ROYGBPTQUXZC_]|1?[0-9])\])"", ""[img=45]res://textures/icons/$2.png[/img]""),""--"",""—""),""-&gt;"",""•""),""~@"", CONCATENATE(""[i"&amp;"]"",REGEXEXTRACT(B81,""^([\s\S]*),|$""),""[/i]"")),""~"", CONCATENATE(""[i]"",B81,""[/i]"")),""(\([\s\S]*?\))"",""[i][color=#34343A]$0[/color][/i]""), ""&lt;"", ""[""), ""&gt;"", ""]""), ""[/p][p]"", ""[font_size=15]\n\n[/font_size]""), ""[br/]"", ""\n"")"),"")</f>
        <v/>
      </c>
      <c r="W81" s="6" t="str">
        <f t="shared" si="6"/>
        <v>[i][/i]</v>
      </c>
      <c r="X81" s="1" t="str">
        <f t="shared" si="7"/>
        <v>0</v>
      </c>
      <c r="Y81" s="1"/>
    </row>
    <row r="82">
      <c r="A82" s="7" t="s">
        <v>76</v>
      </c>
      <c r="B82" s="6" t="str">
        <f t="shared" si="8"/>
        <v>C</v>
      </c>
      <c r="C82" s="8"/>
      <c r="D82" s="9" t="str">
        <f>IFERROR(__xludf.DUMMYFUNCTION("IF(ISBLANK(A82),"""",SWITCH(IF(T82="""",0,COUNTA(SPLIT(T82,"" ""))),0,""Generic"",1,TRIM(T82),2,""Multicolor"",3,""Multicolor"",4,""Multicolor"",5,""Multicolor"",6,""Multicolor"",7,""Multicolor"",8,""Multicolor""))"),"Generic")</f>
        <v>Generic</v>
      </c>
      <c r="E82" s="1"/>
      <c r="F82" s="1"/>
      <c r="H82" s="10"/>
      <c r="I82" s="11"/>
      <c r="J82" s="11"/>
      <c r="K82" s="6" t="s">
        <v>39</v>
      </c>
      <c r="L82" s="6" t="s">
        <v>39</v>
      </c>
      <c r="O82" s="11"/>
      <c r="Q82" s="7">
        <v>60</v>
      </c>
      <c r="R82" s="7">
        <v>50</v>
      </c>
      <c r="S82" s="1" t="str">
        <f t="shared" si="5"/>
        <v>False</v>
      </c>
      <c r="T82" s="6" t="str">
        <f>IFERROR(__xludf.DUMMYFUNCTION("CONCATENATE(if(REGEXMATCH(C82,""R""),"" Red"",""""),if(REGEXMATCH(C82,""O""),"" Orange"",""""),if(REGEXMATCH(C82,""Y""),"" Yellow"",""""),if(REGEXMATCH(C82,""G""),"" Green"",""""),if(REGEXMATCH(C82,""B""),"" Blue"",""""),if(REGEXMATCH(C82,""P""),"" Purple"&amp;""",""""))"),"")</f>
        <v/>
      </c>
      <c r="U82" s="6" t="str">
        <f>IFERROR(__xludf.DUMMYFUNCTION("TRIM(CONCAT(""[right]"", REGEXREPLACE(C82, ""([ROYGBPXZC_]|1?[0-9])"", ""[img=119]res://textures/icons/$0.png[/img]\\n"")))"),"[right]")</f>
        <v>[right]</v>
      </c>
      <c r="V82" s="1" t="str">
        <f>IFERROR(__xludf.DUMMYFUNCTION("SUBSTITUTE(SUBSTITUTE(SUBSTITUTE(SUBSTITUTE(REGEXREPLACE(SUBSTITUTE(SUBSTITUTE(SUBSTITUTE(SUBSTITUTE(REGEXREPLACE(I82, ""(\[([ROYGBPTQUXZC_]|1?[0-9])\])"", ""[img=45]res://textures/icons/$2.png[/img]""),""--"",""—""),""-&gt;"",""•""),""~@"", CONCATENATE(""[i"&amp;"]"",REGEXEXTRACT(B82,""^([\s\S]*),|$""),""[/i]"")),""~"", CONCATENATE(""[i]"",B82,""[/i]"")),""(\([\s\S]*?\))"",""[i][color=#34343A]$0[/color][/i]""), ""&lt;"", ""[""), ""&gt;"", ""]""), ""[/p][p]"", ""[font_size=15]\n\n[/font_size]""), ""[br/]"", ""\n"")"),"")</f>
        <v/>
      </c>
      <c r="W82" s="6" t="str">
        <f t="shared" si="6"/>
        <v>[i][/i]</v>
      </c>
      <c r="X82" s="1" t="str">
        <f t="shared" si="7"/>
        <v>0</v>
      </c>
      <c r="Y82" s="1"/>
    </row>
    <row r="83">
      <c r="A83" s="7" t="s">
        <v>76</v>
      </c>
      <c r="B83" s="6" t="str">
        <f t="shared" si="8"/>
        <v>C</v>
      </c>
      <c r="C83" s="8"/>
      <c r="D83" s="9" t="str">
        <f>IFERROR(__xludf.DUMMYFUNCTION("IF(ISBLANK(A83),"""",SWITCH(IF(T83="""",0,COUNTA(SPLIT(T83,"" ""))),0,""Generic"",1,TRIM(T83),2,""Multicolor"",3,""Multicolor"",4,""Multicolor"",5,""Multicolor"",6,""Multicolor"",7,""Multicolor"",8,""Multicolor""))"),"Generic")</f>
        <v>Generic</v>
      </c>
      <c r="E83" s="1"/>
      <c r="F83" s="1"/>
      <c r="H83" s="10"/>
      <c r="I83" s="11"/>
      <c r="J83" s="11"/>
      <c r="K83" s="6" t="s">
        <v>39</v>
      </c>
      <c r="L83" s="6" t="s">
        <v>39</v>
      </c>
      <c r="O83" s="11"/>
      <c r="Q83" s="7">
        <v>60</v>
      </c>
      <c r="R83" s="7">
        <v>50</v>
      </c>
      <c r="S83" s="1" t="str">
        <f t="shared" si="5"/>
        <v>False</v>
      </c>
      <c r="T83" s="6" t="str">
        <f>IFERROR(__xludf.DUMMYFUNCTION("CONCATENATE(if(REGEXMATCH(C83,""R""),"" Red"",""""),if(REGEXMATCH(C83,""O""),"" Orange"",""""),if(REGEXMATCH(C83,""Y""),"" Yellow"",""""),if(REGEXMATCH(C83,""G""),"" Green"",""""),if(REGEXMATCH(C83,""B""),"" Blue"",""""),if(REGEXMATCH(C83,""P""),"" Purple"&amp;""",""""))"),"")</f>
        <v/>
      </c>
      <c r="U83" s="6" t="str">
        <f>IFERROR(__xludf.DUMMYFUNCTION("TRIM(CONCAT(""[right]"", REGEXREPLACE(C83, ""([ROYGBPXZC_]|1?[0-9])"", ""[img=119]res://textures/icons/$0.png[/img]\\n"")))"),"[right]")</f>
        <v>[right]</v>
      </c>
      <c r="V83" s="1" t="str">
        <f>IFERROR(__xludf.DUMMYFUNCTION("SUBSTITUTE(SUBSTITUTE(SUBSTITUTE(SUBSTITUTE(REGEXREPLACE(SUBSTITUTE(SUBSTITUTE(SUBSTITUTE(SUBSTITUTE(REGEXREPLACE(I83, ""(\[([ROYGBPTQUXZC_]|1?[0-9])\])"", ""[img=45]res://textures/icons/$2.png[/img]""),""--"",""—""),""-&gt;"",""•""),""~@"", CONCATENATE(""[i"&amp;"]"",REGEXEXTRACT(B83,""^([\s\S]*),|$""),""[/i]"")),""~"", CONCATENATE(""[i]"",B83,""[/i]"")),""(\([\s\S]*?\))"",""[i][color=#34343A]$0[/color][/i]""), ""&lt;"", ""[""), ""&gt;"", ""]""), ""[/p][p]"", ""[font_size=15]\n\n[/font_size]""), ""[br/]"", ""\n"")"),"")</f>
        <v/>
      </c>
      <c r="W83" s="6" t="str">
        <f t="shared" si="6"/>
        <v>[i][/i]</v>
      </c>
      <c r="X83" s="1" t="str">
        <f t="shared" si="7"/>
        <v>0</v>
      </c>
      <c r="Y83" s="1"/>
    </row>
    <row r="84">
      <c r="A84" s="7" t="s">
        <v>76</v>
      </c>
      <c r="B84" s="6" t="str">
        <f t="shared" si="8"/>
        <v>C</v>
      </c>
      <c r="C84" s="8"/>
      <c r="D84" s="9" t="str">
        <f>IFERROR(__xludf.DUMMYFUNCTION("IF(ISBLANK(A84),"""",SWITCH(IF(T84="""",0,COUNTA(SPLIT(T84,"" ""))),0,""Generic"",1,TRIM(T84),2,""Multicolor"",3,""Multicolor"",4,""Multicolor"",5,""Multicolor"",6,""Multicolor"",7,""Multicolor"",8,""Multicolor""))"),"Generic")</f>
        <v>Generic</v>
      </c>
      <c r="E84" s="1"/>
      <c r="F84" s="1"/>
      <c r="H84" s="10"/>
      <c r="I84" s="11"/>
      <c r="J84" s="11"/>
      <c r="K84" s="6" t="s">
        <v>39</v>
      </c>
      <c r="L84" s="6" t="s">
        <v>39</v>
      </c>
      <c r="O84" s="11"/>
      <c r="Q84" s="7">
        <v>60</v>
      </c>
      <c r="R84" s="7">
        <v>50</v>
      </c>
      <c r="S84" s="1" t="str">
        <f t="shared" si="5"/>
        <v>False</v>
      </c>
      <c r="T84" s="6" t="str">
        <f>IFERROR(__xludf.DUMMYFUNCTION("CONCATENATE(if(REGEXMATCH(C84,""R""),"" Red"",""""),if(REGEXMATCH(C84,""O""),"" Orange"",""""),if(REGEXMATCH(C84,""Y""),"" Yellow"",""""),if(REGEXMATCH(C84,""G""),"" Green"",""""),if(REGEXMATCH(C84,""B""),"" Blue"",""""),if(REGEXMATCH(C84,""P""),"" Purple"&amp;""",""""))"),"")</f>
        <v/>
      </c>
      <c r="U84" s="6" t="str">
        <f>IFERROR(__xludf.DUMMYFUNCTION("TRIM(CONCAT(""[right]"", REGEXREPLACE(C84, ""([ROYGBPXZC_]|1?[0-9])"", ""[img=119]res://textures/icons/$0.png[/img]\\n"")))"),"[right]")</f>
        <v>[right]</v>
      </c>
      <c r="V84" s="1" t="str">
        <f>IFERROR(__xludf.DUMMYFUNCTION("SUBSTITUTE(SUBSTITUTE(SUBSTITUTE(SUBSTITUTE(REGEXREPLACE(SUBSTITUTE(SUBSTITUTE(SUBSTITUTE(SUBSTITUTE(REGEXREPLACE(I84, ""(\[([ROYGBPTQUXZC_]|1?[0-9])\])"", ""[img=45]res://textures/icons/$2.png[/img]""),""--"",""—""),""-&gt;"",""•""),""~@"", CONCATENATE(""[i"&amp;"]"",REGEXEXTRACT(B84,""^([\s\S]*),|$""),""[/i]"")),""~"", CONCATENATE(""[i]"",B84,""[/i]"")),""(\([\s\S]*?\))"",""[i][color=#34343A]$0[/color][/i]""), ""&lt;"", ""[""), ""&gt;"", ""]""), ""[/p][p]"", ""[font_size=15]\n\n[/font_size]""), ""[br/]"", ""\n"")"),"")</f>
        <v/>
      </c>
      <c r="W84" s="6" t="str">
        <f t="shared" si="6"/>
        <v>[i][/i]</v>
      </c>
      <c r="X84" s="1" t="str">
        <f t="shared" si="7"/>
        <v>0</v>
      </c>
      <c r="Y84" s="1"/>
    </row>
    <row r="85">
      <c r="A85" s="7" t="s">
        <v>76</v>
      </c>
      <c r="B85" s="6" t="str">
        <f t="shared" si="8"/>
        <v>C</v>
      </c>
      <c r="C85" s="8"/>
      <c r="D85" s="9" t="str">
        <f>IFERROR(__xludf.DUMMYFUNCTION("IF(ISBLANK(A85),"""",SWITCH(IF(T85="""",0,COUNTA(SPLIT(T85,"" ""))),0,""Generic"",1,TRIM(T85),2,""Multicolor"",3,""Multicolor"",4,""Multicolor"",5,""Multicolor"",6,""Multicolor"",7,""Multicolor"",8,""Multicolor""))"),"Generic")</f>
        <v>Generic</v>
      </c>
      <c r="E85" s="1"/>
      <c r="F85" s="1"/>
      <c r="H85" s="10"/>
      <c r="I85" s="11"/>
      <c r="J85" s="11"/>
      <c r="K85" s="6" t="s">
        <v>39</v>
      </c>
      <c r="L85" s="6" t="s">
        <v>39</v>
      </c>
      <c r="O85" s="11"/>
      <c r="Q85" s="7">
        <v>60</v>
      </c>
      <c r="R85" s="7">
        <v>50</v>
      </c>
      <c r="S85" s="1" t="str">
        <f t="shared" si="5"/>
        <v>False</v>
      </c>
      <c r="T85" s="6" t="str">
        <f>IFERROR(__xludf.DUMMYFUNCTION("CONCATENATE(if(REGEXMATCH(C85,""R""),"" Red"",""""),if(REGEXMATCH(C85,""O""),"" Orange"",""""),if(REGEXMATCH(C85,""Y""),"" Yellow"",""""),if(REGEXMATCH(C85,""G""),"" Green"",""""),if(REGEXMATCH(C85,""B""),"" Blue"",""""),if(REGEXMATCH(C85,""P""),"" Purple"&amp;""",""""))"),"")</f>
        <v/>
      </c>
      <c r="U85" s="6" t="str">
        <f>IFERROR(__xludf.DUMMYFUNCTION("TRIM(CONCAT(""[right]"", REGEXREPLACE(C85, ""([ROYGBPXZC_]|1?[0-9])"", ""[img=119]res://textures/icons/$0.png[/img]\\n"")))"),"[right]")</f>
        <v>[right]</v>
      </c>
      <c r="V85" s="1" t="str">
        <f>IFERROR(__xludf.DUMMYFUNCTION("SUBSTITUTE(SUBSTITUTE(SUBSTITUTE(SUBSTITUTE(REGEXREPLACE(SUBSTITUTE(SUBSTITUTE(SUBSTITUTE(SUBSTITUTE(REGEXREPLACE(I85, ""(\[([ROYGBPTQUXZC_]|1?[0-9])\])"", ""[img=45]res://textures/icons/$2.png[/img]""),""--"",""—""),""-&gt;"",""•""),""~@"", CONCATENATE(""[i"&amp;"]"",REGEXEXTRACT(B85,""^([\s\S]*),|$""),""[/i]"")),""~"", CONCATENATE(""[i]"",B85,""[/i]"")),""(\([\s\S]*?\))"",""[i][color=#34343A]$0[/color][/i]""), ""&lt;"", ""[""), ""&gt;"", ""]""), ""[/p][p]"", ""[font_size=15]\n\n[/font_size]""), ""[br/]"", ""\n"")"),"")</f>
        <v/>
      </c>
      <c r="W85" s="6" t="str">
        <f t="shared" si="6"/>
        <v>[i][/i]</v>
      </c>
      <c r="X85" s="1" t="str">
        <f t="shared" si="7"/>
        <v>0</v>
      </c>
      <c r="Y85" s="1"/>
    </row>
    <row r="86">
      <c r="A86" s="7" t="s">
        <v>76</v>
      </c>
      <c r="B86" s="6" t="str">
        <f t="shared" si="8"/>
        <v>C</v>
      </c>
      <c r="C86" s="8"/>
      <c r="D86" s="9" t="str">
        <f>IFERROR(__xludf.DUMMYFUNCTION("IF(ISBLANK(A86),"""",SWITCH(IF(T86="""",0,COUNTA(SPLIT(T86,"" ""))),0,""Generic"",1,TRIM(T86),2,""Multicolor"",3,""Multicolor"",4,""Multicolor"",5,""Multicolor"",6,""Multicolor"",7,""Multicolor"",8,""Multicolor""))"),"Generic")</f>
        <v>Generic</v>
      </c>
      <c r="E86" s="1"/>
      <c r="F86" s="1"/>
      <c r="H86" s="10"/>
      <c r="I86" s="11"/>
      <c r="J86" s="11"/>
      <c r="K86" s="6" t="s">
        <v>39</v>
      </c>
      <c r="L86" s="6" t="s">
        <v>39</v>
      </c>
      <c r="O86" s="11"/>
      <c r="Q86" s="7">
        <v>60</v>
      </c>
      <c r="R86" s="7">
        <v>50</v>
      </c>
      <c r="S86" s="1" t="str">
        <f t="shared" si="5"/>
        <v>False</v>
      </c>
      <c r="T86" s="6" t="str">
        <f>IFERROR(__xludf.DUMMYFUNCTION("CONCATENATE(if(REGEXMATCH(C86,""R""),"" Red"",""""),if(REGEXMATCH(C86,""O""),"" Orange"",""""),if(REGEXMATCH(C86,""Y""),"" Yellow"",""""),if(REGEXMATCH(C86,""G""),"" Green"",""""),if(REGEXMATCH(C86,""B""),"" Blue"",""""),if(REGEXMATCH(C86,""P""),"" Purple"&amp;""",""""))"),"")</f>
        <v/>
      </c>
      <c r="U86" s="6" t="str">
        <f>IFERROR(__xludf.DUMMYFUNCTION("TRIM(CONCAT(""[right]"", REGEXREPLACE(C86, ""([ROYGBPXZC_]|1?[0-9])"", ""[img=119]res://textures/icons/$0.png[/img]\\n"")))"),"[right]")</f>
        <v>[right]</v>
      </c>
      <c r="V86" s="1" t="str">
        <f>IFERROR(__xludf.DUMMYFUNCTION("SUBSTITUTE(SUBSTITUTE(SUBSTITUTE(SUBSTITUTE(REGEXREPLACE(SUBSTITUTE(SUBSTITUTE(SUBSTITUTE(SUBSTITUTE(REGEXREPLACE(I86, ""(\[([ROYGBPTQUXZC_]|1?[0-9])\])"", ""[img=45]res://textures/icons/$2.png[/img]""),""--"",""—""),""-&gt;"",""•""),""~@"", CONCATENATE(""[i"&amp;"]"",REGEXEXTRACT(B86,""^([\s\S]*),|$""),""[/i]"")),""~"", CONCATENATE(""[i]"",B86,""[/i]"")),""(\([\s\S]*?\))"",""[i][color=#34343A]$0[/color][/i]""), ""&lt;"", ""[""), ""&gt;"", ""]""), ""[/p][p]"", ""[font_size=15]\n\n[/font_size]""), ""[br/]"", ""\n"")"),"")</f>
        <v/>
      </c>
      <c r="W86" s="6" t="str">
        <f t="shared" si="6"/>
        <v>[i][/i]</v>
      </c>
      <c r="X86" s="1" t="str">
        <f t="shared" si="7"/>
        <v>0</v>
      </c>
      <c r="Y86" s="1"/>
    </row>
    <row r="87">
      <c r="A87" s="7" t="s">
        <v>76</v>
      </c>
      <c r="B87" s="6" t="str">
        <f t="shared" si="8"/>
        <v>C</v>
      </c>
      <c r="C87" s="8"/>
      <c r="D87" s="9" t="str">
        <f>IFERROR(__xludf.DUMMYFUNCTION("IF(ISBLANK(A87),"""",SWITCH(IF(T87="""",0,COUNTA(SPLIT(T87,"" ""))),0,""Generic"",1,TRIM(T87),2,""Multicolor"",3,""Multicolor"",4,""Multicolor"",5,""Multicolor"",6,""Multicolor"",7,""Multicolor"",8,""Multicolor""))"),"Generic")</f>
        <v>Generic</v>
      </c>
      <c r="E87" s="1"/>
      <c r="F87" s="1"/>
      <c r="H87" s="10"/>
      <c r="I87" s="11"/>
      <c r="J87" s="11"/>
      <c r="K87" s="6" t="s">
        <v>39</v>
      </c>
      <c r="L87" s="6" t="s">
        <v>39</v>
      </c>
      <c r="O87" s="11"/>
      <c r="Q87" s="7">
        <v>60</v>
      </c>
      <c r="R87" s="7">
        <v>50</v>
      </c>
      <c r="S87" s="1" t="str">
        <f t="shared" si="5"/>
        <v>False</v>
      </c>
      <c r="T87" s="6" t="str">
        <f>IFERROR(__xludf.DUMMYFUNCTION("CONCATENATE(if(REGEXMATCH(C87,""R""),"" Red"",""""),if(REGEXMATCH(C87,""O""),"" Orange"",""""),if(REGEXMATCH(C87,""Y""),"" Yellow"",""""),if(REGEXMATCH(C87,""G""),"" Green"",""""),if(REGEXMATCH(C87,""B""),"" Blue"",""""),if(REGEXMATCH(C87,""P""),"" Purple"&amp;""",""""))"),"")</f>
        <v/>
      </c>
      <c r="U87" s="6" t="str">
        <f>IFERROR(__xludf.DUMMYFUNCTION("TRIM(CONCAT(""[right]"", REGEXREPLACE(C87, ""([ROYGBPXZC_]|1?[0-9])"", ""[img=119]res://textures/icons/$0.png[/img]\\n"")))"),"[right]")</f>
        <v>[right]</v>
      </c>
      <c r="V87" s="1" t="str">
        <f>IFERROR(__xludf.DUMMYFUNCTION("SUBSTITUTE(SUBSTITUTE(SUBSTITUTE(SUBSTITUTE(REGEXREPLACE(SUBSTITUTE(SUBSTITUTE(SUBSTITUTE(SUBSTITUTE(REGEXREPLACE(I87, ""(\[([ROYGBPTQUXZC_]|1?[0-9])\])"", ""[img=45]res://textures/icons/$2.png[/img]""),""--"",""—""),""-&gt;"",""•""),""~@"", CONCATENATE(""[i"&amp;"]"",REGEXEXTRACT(B87,""^([\s\S]*),|$""),""[/i]"")),""~"", CONCATENATE(""[i]"",B87,""[/i]"")),""(\([\s\S]*?\))"",""[i][color=#34343A]$0[/color][/i]""), ""&lt;"", ""[""), ""&gt;"", ""]""), ""[/p][p]"", ""[font_size=15]\n\n[/font_size]""), ""[br/]"", ""\n"")"),"")</f>
        <v/>
      </c>
      <c r="W87" s="6" t="str">
        <f t="shared" si="6"/>
        <v>[i][/i]</v>
      </c>
      <c r="X87" s="1" t="str">
        <f t="shared" si="7"/>
        <v>0</v>
      </c>
      <c r="Y87" s="1"/>
    </row>
    <row r="88">
      <c r="A88" s="7" t="s">
        <v>76</v>
      </c>
      <c r="B88" s="6" t="str">
        <f t="shared" si="8"/>
        <v>C</v>
      </c>
      <c r="C88" s="8"/>
      <c r="D88" s="9" t="str">
        <f>IFERROR(__xludf.DUMMYFUNCTION("IF(ISBLANK(A88),"""",SWITCH(IF(T88="""",0,COUNTA(SPLIT(T88,"" ""))),0,""Generic"",1,TRIM(T88),2,""Multicolor"",3,""Multicolor"",4,""Multicolor"",5,""Multicolor"",6,""Multicolor"",7,""Multicolor"",8,""Multicolor""))"),"Generic")</f>
        <v>Generic</v>
      </c>
      <c r="E88" s="1"/>
      <c r="F88" s="1"/>
      <c r="H88" s="10"/>
      <c r="I88" s="11"/>
      <c r="J88" s="11"/>
      <c r="K88" s="6" t="s">
        <v>39</v>
      </c>
      <c r="L88" s="6" t="s">
        <v>39</v>
      </c>
      <c r="O88" s="11"/>
      <c r="Q88" s="7">
        <v>60</v>
      </c>
      <c r="R88" s="7">
        <v>50</v>
      </c>
      <c r="S88" s="1" t="str">
        <f t="shared" si="5"/>
        <v>False</v>
      </c>
      <c r="T88" s="6" t="str">
        <f>IFERROR(__xludf.DUMMYFUNCTION("CONCATENATE(if(REGEXMATCH(C88,""R""),"" Red"",""""),if(REGEXMATCH(C88,""O""),"" Orange"",""""),if(REGEXMATCH(C88,""Y""),"" Yellow"",""""),if(REGEXMATCH(C88,""G""),"" Green"",""""),if(REGEXMATCH(C88,""B""),"" Blue"",""""),if(REGEXMATCH(C88,""P""),"" Purple"&amp;""",""""))"),"")</f>
        <v/>
      </c>
      <c r="U88" s="6" t="str">
        <f>IFERROR(__xludf.DUMMYFUNCTION("TRIM(CONCAT(""[right]"", REGEXREPLACE(C88, ""([ROYGBPXZC_]|1?[0-9])"", ""[img=119]res://textures/icons/$0.png[/img]\\n"")))"),"[right]")</f>
        <v>[right]</v>
      </c>
      <c r="V88" s="1" t="str">
        <f>IFERROR(__xludf.DUMMYFUNCTION("SUBSTITUTE(SUBSTITUTE(SUBSTITUTE(SUBSTITUTE(REGEXREPLACE(SUBSTITUTE(SUBSTITUTE(SUBSTITUTE(SUBSTITUTE(REGEXREPLACE(I88, ""(\[([ROYGBPTQUXZC_]|1?[0-9])\])"", ""[img=45]res://textures/icons/$2.png[/img]""),""--"",""—""),""-&gt;"",""•""),""~@"", CONCATENATE(""[i"&amp;"]"",REGEXEXTRACT(B88,""^([\s\S]*),|$""),""[/i]"")),""~"", CONCATENATE(""[i]"",B88,""[/i]"")),""(\([\s\S]*?\))"",""[i][color=#34343A]$0[/color][/i]""), ""&lt;"", ""[""), ""&gt;"", ""]""), ""[/p][p]"", ""[font_size=15]\n\n[/font_size]""), ""[br/]"", ""\n"")"),"")</f>
        <v/>
      </c>
      <c r="W88" s="6" t="str">
        <f t="shared" si="6"/>
        <v>[i][/i]</v>
      </c>
      <c r="X88" s="1" t="str">
        <f t="shared" si="7"/>
        <v>0</v>
      </c>
      <c r="Y88" s="1"/>
    </row>
    <row r="89">
      <c r="A89" s="7" t="s">
        <v>76</v>
      </c>
      <c r="B89" s="6" t="str">
        <f t="shared" si="8"/>
        <v>C</v>
      </c>
      <c r="C89" s="8"/>
      <c r="D89" s="9" t="str">
        <f>IFERROR(__xludf.DUMMYFUNCTION("IF(ISBLANK(A89),"""",SWITCH(IF(T89="""",0,COUNTA(SPLIT(T89,"" ""))),0,""Generic"",1,TRIM(T89),2,""Multicolor"",3,""Multicolor"",4,""Multicolor"",5,""Multicolor"",6,""Multicolor"",7,""Multicolor"",8,""Multicolor""))"),"Generic")</f>
        <v>Generic</v>
      </c>
      <c r="E89" s="1"/>
      <c r="F89" s="1"/>
      <c r="H89" s="10"/>
      <c r="I89" s="11"/>
      <c r="J89" s="11"/>
      <c r="K89" s="6" t="s">
        <v>39</v>
      </c>
      <c r="L89" s="6" t="s">
        <v>39</v>
      </c>
      <c r="O89" s="11"/>
      <c r="Q89" s="7">
        <v>60</v>
      </c>
      <c r="R89" s="7">
        <v>50</v>
      </c>
      <c r="S89" s="1" t="str">
        <f t="shared" si="5"/>
        <v>False</v>
      </c>
      <c r="T89" s="6" t="str">
        <f>IFERROR(__xludf.DUMMYFUNCTION("CONCATENATE(if(REGEXMATCH(C89,""R""),"" Red"",""""),if(REGEXMATCH(C89,""O""),"" Orange"",""""),if(REGEXMATCH(C89,""Y""),"" Yellow"",""""),if(REGEXMATCH(C89,""G""),"" Green"",""""),if(REGEXMATCH(C89,""B""),"" Blue"",""""),if(REGEXMATCH(C89,""P""),"" Purple"&amp;""",""""))"),"")</f>
        <v/>
      </c>
      <c r="U89" s="6" t="str">
        <f>IFERROR(__xludf.DUMMYFUNCTION("TRIM(CONCAT(""[right]"", REGEXREPLACE(C89, ""([ROYGBPXZC_]|1?[0-9])"", ""[img=119]res://textures/icons/$0.png[/img]\\n"")))"),"[right]")</f>
        <v>[right]</v>
      </c>
      <c r="V89" s="1" t="str">
        <f>IFERROR(__xludf.DUMMYFUNCTION("SUBSTITUTE(SUBSTITUTE(SUBSTITUTE(SUBSTITUTE(REGEXREPLACE(SUBSTITUTE(SUBSTITUTE(SUBSTITUTE(SUBSTITUTE(REGEXREPLACE(I89, ""(\[([ROYGBPTQUXZC_]|1?[0-9])\])"", ""[img=45]res://textures/icons/$2.png[/img]""),""--"",""—""),""-&gt;"",""•""),""~@"", CONCATENATE(""[i"&amp;"]"",REGEXEXTRACT(B89,""^([\s\S]*),|$""),""[/i]"")),""~"", CONCATENATE(""[i]"",B89,""[/i]"")),""(\([\s\S]*?\))"",""[i][color=#34343A]$0[/color][/i]""), ""&lt;"", ""[""), ""&gt;"", ""]""), ""[/p][p]"", ""[font_size=15]\n\n[/font_size]""), ""[br/]"", ""\n"")"),"")</f>
        <v/>
      </c>
      <c r="W89" s="6" t="str">
        <f t="shared" si="6"/>
        <v>[i][/i]</v>
      </c>
      <c r="X89" s="1" t="str">
        <f t="shared" si="7"/>
        <v>0</v>
      </c>
      <c r="Y89" s="1"/>
    </row>
    <row r="90">
      <c r="A90" s="7" t="s">
        <v>208</v>
      </c>
      <c r="B90" s="7" t="s">
        <v>209</v>
      </c>
      <c r="C90" s="12" t="s">
        <v>210</v>
      </c>
      <c r="D90" s="9" t="str">
        <f>IFERROR(__xludf.DUMMYFUNCTION("IF(ISBLANK(A90),"""",SWITCH(IF(T90="""",0,COUNTA(SPLIT(T90,"" ""))),0,""Generic"",1,TRIM(T90),2,""Multicolor"",3,""Multicolor"",4,""Multicolor"",5,""Multicolor"",6,""Multicolor"",7,""Multicolor"",8,""Multicolor""))"),"Multicolor")</f>
        <v>Multicolor</v>
      </c>
      <c r="E90" s="1" t="s">
        <v>49</v>
      </c>
      <c r="F90" s="1" t="s">
        <v>80</v>
      </c>
      <c r="G90" s="7" t="s">
        <v>211</v>
      </c>
      <c r="H90" s="10" t="s">
        <v>144</v>
      </c>
      <c r="I90" s="11" t="s">
        <v>212</v>
      </c>
      <c r="J90" s="11"/>
      <c r="K90" s="6">
        <v>4</v>
      </c>
      <c r="L90" s="6">
        <v>4</v>
      </c>
      <c r="O90" s="7" t="s">
        <v>213</v>
      </c>
      <c r="Q90" s="7">
        <v>60</v>
      </c>
      <c r="R90" s="7">
        <v>50</v>
      </c>
      <c r="S90" s="1" t="str">
        <f t="shared" si="5"/>
        <v>True</v>
      </c>
      <c r="T90" s="6" t="str">
        <f>IFERROR(__xludf.DUMMYFUNCTION("CONCATENATE(if(REGEXMATCH(C90,""R""),"" Red"",""""),if(REGEXMATCH(C90,""O""),"" Orange"",""""),if(REGEXMATCH(C90,""Y""),"" Yellow"",""""),if(REGEXMATCH(C90,""G""),"" Green"",""""),if(REGEXMATCH(C90,""B""),"" Blue"",""""),if(REGEXMATCH(C90,""P""),"" Purple"&amp;""",""""))")," Red Purple")</f>
        <v xml:space="preserve">Red Purple</v>
      </c>
      <c r="U90" s="6" t="str">
        <f>IFERROR(__xludf.DUMMYFUNCTION("TRIM(CONCAT(""[right]"", REGEXREPLACE(C90, ""([ROYGBPXZC_]|1?[0-9])"", ""[img=119]res://textures/icons/$0.png[/img]\\n"")))"),"[right][img=119]res://textures/icons/1.png[/img]\n[img=119]res://textures/icons/R.png[/img]\n[img=119]res://textures/icons/P.png[/img]\n")</f>
        <v>[right][img=119]res://textures/icons/1.png[/img]\n[img=119]res://textures/icons/R.png[/img]\n[img=119]res://textures/icons/P.png[/img]\n</v>
      </c>
      <c r="V90" s="1" t="str">
        <f>IFERROR(__xludf.DUMMYFUNCTION("SUBSTITUTE(SUBSTITUTE(SUBSTITUTE(SUBSTITUTE(REGEXREPLACE(SUBSTITUTE(SUBSTITUTE(SUBSTITUTE(SUBSTITUTE(REGEXREPLACE(I90, ""(\[([ROYGBPTQUXZC_]|1?[0-9])\])"", ""[img=45]res://textures/icons/$2.png[/img]""),""--"",""—""),""-&gt;"",""•""),""~@"", CONCATENATE(""[i"&amp;"]"",REGEXEXTRACT(B90,""^([\s\S]*),|$""),""[/i]"")),""~"", CONCATENATE(""[i]"",B90,""[/i]"")),""(\([\s\S]*?\))"",""[i][color=#34343A]$0[/color][/i]""), ""&lt;"", ""[""), ""&gt;"", ""]""), ""[/p][p]"", ""[font_size=15]\n\n[/font_size]""), ""[br/]"", ""\n"")"),"[p][i]As Commander[/i] — Each player plays with the top card of their deck revealed.[font_size=15]\n\n[/font_size][i]As Asset[/i] — [img=45]res://textures/icons/T.png[/img]: Each player [u]decays 1[/u] [i][color=#34343A](They each put the top card of thei"&amp;"r deck into their discard.)[/color][/i][/p]")</f>
        <v xml:space="preserve">[p][i]As Commander[/i] — Each player plays with the top card of their deck revealed.[font_size=15]\n\n[/font_size][i]As Asset[/i] — [img=45]res://textures/icons/T.png[/img]: Each player [u]decays 1[/u] [i][color=#34343A](They each put the top card of their deck into their discard.)[/color][/i][/p]</v>
      </c>
      <c r="W90" s="6" t="str">
        <f t="shared" si="6"/>
        <v>[i]Commander[/i]</v>
      </c>
      <c r="X90" s="1" t="str">
        <f t="shared" si="7"/>
        <v>RS_M_CMDR_RP_001</v>
      </c>
      <c r="Y90" s="1"/>
    </row>
    <row r="91">
      <c r="A91" s="7" t="s">
        <v>214</v>
      </c>
      <c r="B91" s="6" t="str">
        <f t="shared" si="8"/>
        <v>M_CMDR_RP_001b</v>
      </c>
      <c r="C91" s="12"/>
      <c r="D91" s="9"/>
      <c r="E91" s="1"/>
      <c r="F91" s="1"/>
      <c r="G91" s="7"/>
      <c r="H91" s="10"/>
      <c r="I91" s="11"/>
      <c r="J91" s="11"/>
      <c r="O91" s="11"/>
      <c r="Q91" s="7">
        <v>60</v>
      </c>
      <c r="R91" s="7">
        <v>50</v>
      </c>
      <c r="S91" s="1" t="str">
        <f t="shared" si="5"/>
        <v>False</v>
      </c>
      <c r="T91" s="6" t="str">
        <f>IFERROR(__xludf.DUMMYFUNCTION("CONCATENATE(if(REGEXMATCH(C91,""R""),"" Red"",""""),if(REGEXMATCH(C91,""O""),"" Orange"",""""),if(REGEXMATCH(C91,""Y""),"" Yellow"",""""),if(REGEXMATCH(C91,""G""),"" Green"",""""),if(REGEXMATCH(C91,""B""),"" Blue"",""""),if(REGEXMATCH(C91,""P""),"" Purple"&amp;""",""""))"),"")</f>
        <v/>
      </c>
      <c r="U91" s="6" t="str">
        <f>IFERROR(__xludf.DUMMYFUNCTION("TRIM(CONCAT(""[right]"", REGEXREPLACE(C91, ""([ROYGBPXZC_]|1?[0-9])"", ""[img=119]res://textures/icons/$0.png[/img]\\n"")))"),"[right]")</f>
        <v>[right]</v>
      </c>
      <c r="V91" s="1" t="str">
        <f>IFERROR(__xludf.DUMMYFUNCTION("SUBSTITUTE(SUBSTITUTE(SUBSTITUTE(SUBSTITUTE(REGEXREPLACE(SUBSTITUTE(SUBSTITUTE(SUBSTITUTE(SUBSTITUTE(REGEXREPLACE(I91, ""(\[([ROYGBPTQUXZC_]|1?[0-9])\])"", ""[img=45]res://textures/icons/$2.png[/img]""),""--"",""—""),""-&gt;"",""•""),""~@"", CONCATENATE(""[i"&amp;"]"",REGEXEXTRACT(B91,""^([\s\S]*),|$""),""[/i]"")),""~"", CONCATENATE(""[i]"",B91,""[/i]"")),""(\([\s\S]*?\))"",""[i][color=#34343A]$0[/color][/i]""), ""&lt;"", ""[""), ""&gt;"", ""]""), ""[/p][p]"", ""[font_size=15]\n\n[/font_size]""), ""[br/]"", ""\n"")"),"")</f>
        <v/>
      </c>
      <c r="W91" s="6" t="str">
        <f t="shared" si="6"/>
        <v>[i][/i]</v>
      </c>
      <c r="X91" s="1" t="str">
        <f t="shared" si="7"/>
        <v>0</v>
      </c>
      <c r="Y91" s="1"/>
    </row>
    <row r="92">
      <c r="A92" s="7" t="s">
        <v>215</v>
      </c>
      <c r="B92" s="7" t="s">
        <v>216</v>
      </c>
      <c r="C92" s="12" t="s">
        <v>153</v>
      </c>
      <c r="D92" s="9" t="str">
        <f>IFERROR(__xludf.DUMMYFUNCTION("IF(ISBLANK(A92),"""",SWITCH(IF(T92="""",0,COUNTA(SPLIT(T92,"" ""))),0,""Generic"",1,TRIM(T92),2,""Multicolor"",3,""Multicolor"",4,""Multicolor"",5,""Multicolor"",6,""Multicolor"",7,""Multicolor"",8,""Multicolor""))"),"Generic")</f>
        <v>Generic</v>
      </c>
      <c r="E92" s="1"/>
      <c r="F92" s="1" t="s">
        <v>26</v>
      </c>
      <c r="G92" s="7" t="s">
        <v>217</v>
      </c>
      <c r="H92" s="10" t="s">
        <v>37</v>
      </c>
      <c r="I92" s="11" t="s">
        <v>218</v>
      </c>
      <c r="J92" s="11"/>
      <c r="K92" s="6" t="s">
        <v>39</v>
      </c>
      <c r="L92" s="6" t="s">
        <v>39</v>
      </c>
      <c r="O92" s="11"/>
      <c r="Q92" s="7">
        <v>60</v>
      </c>
      <c r="R92" s="7">
        <v>50</v>
      </c>
      <c r="S92" s="1" t="str">
        <f t="shared" si="5"/>
        <v>False</v>
      </c>
      <c r="T92" s="6" t="str">
        <f>IFERROR(__xludf.DUMMYFUNCTION("CONCATENATE(if(REGEXMATCH(C92,""R""),"" Red"",""""),if(REGEXMATCH(C92,""O""),"" Orange"",""""),if(REGEXMATCH(C92,""Y""),"" Yellow"",""""),if(REGEXMATCH(C92,""G""),"" Green"",""""),if(REGEXMATCH(C92,""B""),"" Blue"",""""),if(REGEXMATCH(C92,""P""),"" Purple"&amp;""",""""))"),"")</f>
        <v/>
      </c>
      <c r="U92" s="6" t="str">
        <f>IFERROR(__xludf.DUMMYFUNCTION("TRIM(CONCAT(""[right]"", REGEXREPLACE(C92, ""([ROYGBPXZC_]|1?[0-9])"", ""[img=119]res://textures/icons/$0.png[/img]\\n"")))"),"[right][img=119]res://textures/icons/2.png[/img]\n")</f>
        <v>[right][img=119]res://textures/icons/2.png[/img]\n</v>
      </c>
      <c r="V92" s="1" t="str">
        <f>IFERROR(__xludf.DUMMYFUNCTION("SUBSTITUTE(SUBSTITUTE(SUBSTITUTE(SUBSTITUTE(REGEXREPLACE(SUBSTITUTE(SUBSTITUTE(SUBSTITUTE(SUBSTITUTE(REGEXREPLACE(I92, ""(\[([ROYGBPTQUXZC_]|1?[0-9])\])"", ""[img=45]res://textures/icons/$2.png[/img]""),""--"",""—""),""-&gt;"",""•""),""~@"", CONCATENATE(""[i"&amp;"]"",REGEXEXTRACT(B92,""^([\s\S]*),|$""),""[/i]"")),""~"", CONCATENATE(""[i]"",B92,""[/i]"")),""(\([\s\S]*?\))"",""[i][color=#34343A]$0[/color][/i]""), ""&lt;"", ""[""), ""&gt;"", ""]""), ""[/p][p]"", ""[font_size=15]\n\n[/font_size]""), ""[br/]"", ""\n"")"),"[p][img=45]res://textures/icons/T.png[/img]: Look at the top card of any player's deck, you may put it on the bottom.[font_size=15]\n\n[/font_size][img=45]res://textures/icons/1.png[/img][img=45]res://textures/icons/P.png[/img], [img=45]res://textures/ico"&amp;"ns/T.png[/img]: Choose a player to draw a card.[font_size=15]\n\n[/font_size]Once [i]Evidence Camera[/i] has been exhausted 5 times, choose a player to gain 5 loyalty.[/p]")</f>
        <v xml:space="preserve">[p][img=45]res://textures/icons/T.png[/img]: Look at the top card of any player's deck, you may put it on the bottom.[font_size=15]\n\n[/font_size][img=45]res://textures/icons/1.png[/img][img=45]res://textures/icons/P.png[/img], [img=45]res://textures/icons/T.png[/img]: Choose a player to draw a card.[font_size=15]\n\n[/font_size]Once [i]Evidence Camera[/i] has been exhausted 5 times, choose a player to gain 5 loyalty.[/p]</v>
      </c>
      <c r="W92" s="6" t="str">
        <f t="shared" si="6"/>
        <v>[i]Asset[/i]</v>
      </c>
      <c r="X92" s="1" t="str">
        <f t="shared" si="7"/>
        <v>RS_CR_002</v>
      </c>
      <c r="Y92" s="1"/>
    </row>
    <row r="93">
      <c r="A93" s="7" t="s">
        <v>219</v>
      </c>
      <c r="B93" s="7" t="s">
        <v>220</v>
      </c>
      <c r="C93" s="12" t="s">
        <v>221</v>
      </c>
      <c r="D93" s="9" t="str">
        <f>IFERROR(__xludf.DUMMYFUNCTION("IF(ISBLANK(A93),"""",SWITCH(IF(T93="""",0,COUNTA(SPLIT(T93,"" ""))),0,""Generic"",1,TRIM(T93),2,""Multicolor"",3,""Multicolor"",4,""Multicolor"",5,""Multicolor"",6,""Multicolor"",7,""Multicolor"",8,""Multicolor""))"),"Multicolor")</f>
        <v>Multicolor</v>
      </c>
      <c r="E93" s="1"/>
      <c r="F93" s="1" t="s">
        <v>63</v>
      </c>
      <c r="G93" s="7" t="s">
        <v>222</v>
      </c>
      <c r="H93" s="10" t="s">
        <v>223</v>
      </c>
      <c r="I93" s="11" t="s">
        <v>224</v>
      </c>
      <c r="J93" s="11"/>
      <c r="K93" s="6" t="s">
        <v>39</v>
      </c>
      <c r="L93" s="6" t="s">
        <v>39</v>
      </c>
      <c r="O93" s="11"/>
      <c r="Q93" s="7">
        <v>35</v>
      </c>
      <c r="R93" s="7">
        <v>50</v>
      </c>
      <c r="S93" s="1" t="str">
        <f t="shared" si="5"/>
        <v>False</v>
      </c>
      <c r="T93" s="6" t="str">
        <f>IFERROR(__xludf.DUMMYFUNCTION("CONCATENATE(if(REGEXMATCH(C93,""R""),"" Red"",""""),if(REGEXMATCH(C93,""O""),"" Orange"",""""),if(REGEXMATCH(C93,""Y""),"" Yellow"",""""),if(REGEXMATCH(C93,""G""),"" Green"",""""),if(REGEXMATCH(C93,""B""),"" Blue"",""""),if(REGEXMATCH(C93,""P""),"" Purple"&amp;""",""""))")," Red Purple")</f>
        <v xml:space="preserve">Red Purple</v>
      </c>
      <c r="U93" s="6" t="str">
        <f>IFERROR(__xludf.DUMMYFUNCTION("TRIM(CONCAT(""[right]"", REGEXREPLACE(C93, ""([ROYGBPXZC_]|1?[0-9])"", ""[img=119]res://textures/icons/$0.png[/img]\\n"")))"),"[right][img=119]res://textures/icons/2.png[/img]\n[img=119]res://textures/icons/R.png[/img]\n[img=119]res://textures/icons/P.png[/img]\n")</f>
        <v>[right][img=119]res://textures/icons/2.png[/img]\n[img=119]res://textures/icons/R.png[/img]\n[img=119]res://textures/icons/P.png[/img]\n</v>
      </c>
      <c r="V93" s="1" t="str">
        <f>IFERROR(__xludf.DUMMYFUNCTION("SUBSTITUTE(SUBSTITUTE(SUBSTITUTE(SUBSTITUTE(REGEXREPLACE(SUBSTITUTE(SUBSTITUTE(SUBSTITUTE(SUBSTITUTE(REGEXREPLACE(I93, ""(\[([ROYGBPTQUXZC_]|1?[0-9])\])"", ""[img=45]res://textures/icons/$2.png[/img]""),""--"",""—""),""-&gt;"",""•""),""~@"", CONCATENATE(""[i"&amp;"]"",REGEXEXTRACT(B93,""^([\s\S]*),|$""),""[/i]"")),""~"", CONCATENATE(""[i]"",B93,""[/i]"")),""(\([\s\S]*?\))"",""[i][color=#34343A]$0[/color][/i]""), ""&lt;"", ""[""), ""&gt;"", ""]""), ""[/p][p]"", ""[font_size=15]\n\n[/font_size]""), ""[br/]"", ""\n"")"),"[center][i][color=#34343A](This effect can only be deployed if you control a renowned asset. Banked energy can't be spent to deploy renowned cards.)[/color][/i][/center][p]Each opponent's commander loses [u]X[/u] [i][color=#34343A](X is the number of reve"&amp;"aled cards in their hand.)[/color][/i] loyalty.[/p]")</f>
        <v xml:space="preserve">[center][i][color=#34343A](This effect can only be deployed if you control a renowned asset. Banked energy can't be spent to deploy renowned cards.)[/color][/i][/center][p]Each opponent's commander loses [u]X[/u] [i][color=#34343A](X is the number of revealed cards in their hand.)[/color][/i] loyalty.[/p]</v>
      </c>
      <c r="W93" s="6" t="str">
        <f t="shared" si="6"/>
        <v xml:space="preserve">[i]R. Effect[/i]</v>
      </c>
      <c r="X93" s="1" t="str">
        <f t="shared" si="7"/>
        <v>RS_MR_RP_001</v>
      </c>
      <c r="Y93" s="1"/>
    </row>
    <row r="94">
      <c r="A94" s="7" t="s">
        <v>225</v>
      </c>
      <c r="B94" s="7" t="s">
        <v>226</v>
      </c>
      <c r="C94" s="12" t="s">
        <v>227</v>
      </c>
      <c r="D94" s="9" t="str">
        <f>IFERROR(__xludf.DUMMYFUNCTION("IF(ISBLANK(A94),"""",SWITCH(IF(T94="""",0,COUNTA(SPLIT(T94,"" ""))),0,""Generic"",1,TRIM(T94),2,""Multicolor"",3,""Multicolor"",4,""Multicolor"",5,""Multicolor"",6,""Multicolor"",7,""Multicolor"",8,""Multicolor""))"),"Multicolor")</f>
        <v>Multicolor</v>
      </c>
      <c r="E94" s="1"/>
      <c r="F94" s="1" t="s">
        <v>35</v>
      </c>
      <c r="H94" s="10" t="s">
        <v>223</v>
      </c>
      <c r="I94" s="11" t="s">
        <v>228</v>
      </c>
      <c r="J94" s="11"/>
      <c r="K94" s="6" t="s">
        <v>39</v>
      </c>
      <c r="L94" s="6" t="s">
        <v>39</v>
      </c>
      <c r="O94" s="11"/>
      <c r="Q94" s="7">
        <v>45</v>
      </c>
      <c r="R94" s="7">
        <v>50</v>
      </c>
      <c r="S94" s="1" t="str">
        <f t="shared" si="5"/>
        <v>False</v>
      </c>
      <c r="T94" s="6" t="str">
        <f>IFERROR(__xludf.DUMMYFUNCTION("CONCATENATE(if(REGEXMATCH(C94,""R""),"" Red"",""""),if(REGEXMATCH(C94,""O""),"" Orange"",""""),if(REGEXMATCH(C94,""Y""),"" Yellow"",""""),if(REGEXMATCH(C94,""G""),"" Green"",""""),if(REGEXMATCH(C94,""B""),"" Blue"",""""),if(REGEXMATCH(C94,""P""),"" Purple"&amp;""",""""))")," Red Purple")</f>
        <v xml:space="preserve">Red Purple</v>
      </c>
      <c r="U94" s="6" t="str">
        <f>IFERROR(__xludf.DUMMYFUNCTION("TRIM(CONCAT(""[right]"", REGEXREPLACE(C94, ""([ROYGBPXZC_]|1?[0-9])"", ""[img=119]res://textures/icons/$0.png[/img]\\n"")))"),"[right][img=119]res://textures/icons/3.png[/img]\n[img=119]res://textures/icons/R.png[/img]\n[img=119]res://textures/icons/P.png[/img]\n")</f>
        <v>[right][img=119]res://textures/icons/3.png[/img]\n[img=119]res://textures/icons/R.png[/img]\n[img=119]res://textures/icons/P.png[/img]\n</v>
      </c>
      <c r="V94" s="1" t="str">
        <f>IFERROR(__xludf.DUMMYFUNCTION("SUBSTITUTE(SUBSTITUTE(SUBSTITUTE(SUBSTITUTE(REGEXREPLACE(SUBSTITUTE(SUBSTITUTE(SUBSTITUTE(SUBSTITUTE(REGEXREPLACE(I94, ""(\[([ROYGBPTQUXZC_]|1?[0-9])\])"", ""[img=45]res://textures/icons/$2.png[/img]""),""--"",""—""),""-&gt;"",""•""),""~@"", CONCATENATE(""[i"&amp;"]"",REGEXEXTRACT(B94,""^([\s\S]*),|$""),""[/i]"")),""~"", CONCATENATE(""[i]"",B94,""[/i]"")),""(\([\s\S]*?\))"",""[i][color=#34343A]$0[/color][/i]""), ""&lt;"", ""[""), ""&gt;"", ""]""), ""[/p][p]"", ""[font_size=15]\n\n[/font_size]""), ""[br/]"", ""\n"")"),"[center][u]Prepare 3 — [img=45]res://textures/icons/R.png[/img][img=45]res://textures/icons/P.png[/img][/u] [i][color=#34343A](Pay [img=45]res://textures/icons/R.png[/img][img=45]res://textures/icons/P.png[/img] and put [i]Undermine the Competition[/i] in"&amp;"to your deck third from the top. When you would draw [i]Undermine the Competition[/i], instead deploy it without paying its cost.)[/color][/i][/center][p]Choose a player; they discard 3 cards.[/p]")</f>
        <v xml:space="preserve">[center][u]Prepare 3 — [img=45]res://textures/icons/R.png[/img][img=45]res://textures/icons/P.png[/img][/u] [i][color=#34343A](Pay [img=45]res://textures/icons/R.png[/img][img=45]res://textures/icons/P.png[/img] and put [i]Undermine the Competition[/i] into your deck third from the top. When you would draw [i]Undermine the Competition[/i], instead deploy it without paying its cost.)[/color][/i][/center][p]Choose a player; they discard 3 cards.[/p]</v>
      </c>
      <c r="W94" s="6" t="str">
        <f t="shared" si="6"/>
        <v>[i]Effect[/i]</v>
      </c>
      <c r="X94" s="1" t="str">
        <f t="shared" si="7"/>
        <v>RS_MR_RP_002</v>
      </c>
      <c r="Y94" s="1"/>
    </row>
    <row r="95">
      <c r="A95" s="7" t="s">
        <v>177</v>
      </c>
      <c r="B95" s="6" t="str">
        <f t="shared" si="8"/>
        <v>Y</v>
      </c>
      <c r="I95" s="11"/>
      <c r="J95" s="11"/>
      <c r="K95" s="6" t="s">
        <v>39</v>
      </c>
      <c r="L95" s="6" t="s">
        <v>39</v>
      </c>
      <c r="O95" s="11"/>
      <c r="Q95" s="7">
        <v>60</v>
      </c>
      <c r="R95" s="7">
        <v>50</v>
      </c>
      <c r="S95" s="1" t="str">
        <f t="shared" si="5"/>
        <v>False</v>
      </c>
      <c r="T95" s="6" t="str">
        <f>IFERROR(__xludf.DUMMYFUNCTION("CONCATENATE(if(REGEXMATCH(C95,""R""),"" Red"",""""),if(REGEXMATCH(C95,""O""),"" Orange"",""""),if(REGEXMATCH(C95,""Y""),"" Yellow"",""""),if(REGEXMATCH(C95,""G""),"" Green"",""""),if(REGEXMATCH(C95,""B""),"" Blue"",""""),if(REGEXMATCH(C95,""P""),"" Purple"&amp;""",""""))"),"")</f>
        <v/>
      </c>
      <c r="U95" s="6" t="str">
        <f>IFERROR(__xludf.DUMMYFUNCTION("TRIM(CONCAT(""[right]"", REGEXREPLACE(C95, ""([ROYGBPXZC_]|1?[0-9])"", ""[img=119]res://textures/icons/$0.png[/img]\\n"")))"),"[right]")</f>
        <v>[right]</v>
      </c>
      <c r="V95" s="1" t="str">
        <f>IFERROR(__xludf.DUMMYFUNCTION("SUBSTITUTE(SUBSTITUTE(SUBSTITUTE(SUBSTITUTE(REGEXREPLACE(SUBSTITUTE(SUBSTITUTE(SUBSTITUTE(SUBSTITUTE(REGEXREPLACE(I95, ""(\[([ROYGBPTQUXZC_]|1?[0-9])\])"", ""[img=45]res://textures/icons/$2.png[/img]""),""--"",""—""),""-&gt;"",""•""),""~@"", CONCATENATE(""[i"&amp;"]"",REGEXEXTRACT(B95,""^([\s\S]*),|$""),""[/i]"")),""~"", CONCATENATE(""[i]"",B95,""[/i]"")),""(\([\s\S]*?\))"",""[i][color=#34343A]$0[/color][/i]""), ""&lt;"", ""[""), ""&gt;"", ""]""), ""[/p][p]"", ""[font_size=15]\n\n[/font_size]""), ""[br/]"", ""\n"")"),"")</f>
        <v/>
      </c>
      <c r="W95" s="6" t="str">
        <f t="shared" si="6"/>
        <v>[i][/i]</v>
      </c>
      <c r="X95" s="1" t="str">
        <f t="shared" si="7"/>
        <v>0</v>
      </c>
      <c r="Y95" s="1"/>
    </row>
    <row r="96">
      <c r="A96" s="7" t="s">
        <v>229</v>
      </c>
      <c r="B96" s="7" t="s">
        <v>230</v>
      </c>
      <c r="C96" s="12" t="s">
        <v>231</v>
      </c>
      <c r="D96" s="9" t="str">
        <f>IFERROR(__xludf.DUMMYFUNCTION("IF(ISBLANK(A96),"""",SWITCH(IF(T96="""",0,COUNTA(SPLIT(T96,"" ""))),0,""Generic"",1,TRIM(T96),2,""Multicolor"",3,""Multicolor"",4,""Multicolor"",5,""Multicolor"",6,""Multicolor"",7,""Multicolor"",8,""Multicolor""))"),"Red")</f>
        <v>Red</v>
      </c>
      <c r="E96" s="1"/>
      <c r="F96" s="1" t="s">
        <v>35</v>
      </c>
      <c r="H96" s="10" t="s">
        <v>58</v>
      </c>
      <c r="I96" s="11" t="s">
        <v>232</v>
      </c>
      <c r="J96" s="11"/>
      <c r="K96" s="6" t="s">
        <v>39</v>
      </c>
      <c r="L96" s="6" t="s">
        <v>39</v>
      </c>
      <c r="O96" s="11"/>
      <c r="Q96" s="7">
        <v>60</v>
      </c>
      <c r="R96" s="7">
        <v>50</v>
      </c>
      <c r="S96" s="1" t="str">
        <f t="shared" si="5"/>
        <v>False</v>
      </c>
      <c r="T96" s="6" t="str">
        <f>IFERROR(__xludf.DUMMYFUNCTION("CONCATENATE(if(REGEXMATCH(C96,""R""),"" Red"",""""),if(REGEXMATCH(C96,""O""),"" Orange"",""""),if(REGEXMATCH(C96,""Y""),"" Yellow"",""""),if(REGEXMATCH(C96,""G""),"" Green"",""""),if(REGEXMATCH(C96,""B""),"" Blue"",""""),if(REGEXMATCH(C96,""P""),"" Purple"&amp;""",""""))")," Red")</f>
        <v>Red</v>
      </c>
      <c r="U96" s="6" t="str">
        <f>IFERROR(__xludf.DUMMYFUNCTION("TRIM(CONCAT(""[right]"", REGEXREPLACE(C96, ""([ROYGBPXZC_]|1?[0-9])"", ""[img=119]res://textures/icons/$0.png[/img]\\n"")))"),"[right][img=119]res://textures/icons/1.png[/img]\n[img=119]res://textures/icons/R.png[/img]\n")</f>
        <v>[right][img=119]res://textures/icons/1.png[/img]\n[img=119]res://textures/icons/R.png[/img]\n</v>
      </c>
      <c r="V96" s="1" t="str">
        <f>IFERROR(__xludf.DUMMYFUNCTION("SUBSTITUTE(SUBSTITUTE(SUBSTITUTE(SUBSTITUTE(REGEXREPLACE(SUBSTITUTE(SUBSTITUTE(SUBSTITUTE(SUBSTITUTE(REGEXREPLACE(I96, ""(\[([ROYGBPTQUXZC_]|1?[0-9])\])"", ""[img=45]res://textures/icons/$2.png[/img]""),""--"",""—""),""-&gt;"",""•""),""~@"", CONCATENATE(""[i"&amp;"]"",REGEXEXTRACT(B96,""^([\s\S]*),|$""),""[/i]"")),""~"", CONCATENATE(""[i]"",B96,""[/i]"")),""(\([\s\S]*?\))"",""[i][color=#34343A]$0[/color][/i]""), ""&lt;"", ""[""), ""&gt;"", ""]""), ""[/p][p]"", ""[font_size=15]\n\n[/font_size]""), ""[br/]"", ""\n"")"),"[p]As [i]Covert Interview[/i] resolves you may pay [img=45]res://textures/icons/R.png[/img] or [img=45]res://textures/icons/P.png[/img], if you do, choose a player to [u]decay 1[/u] [i][color=#34343A](The specified player puts the top card of their deck i"&amp;"nto their discard.)[/color][/i][font_size=15]\n\n[/font_size]Chose an opponent to reveal 3 unrevealed cards of their choice in their hand [i][color=#34343A](If they have 3 or less unrevealed cards they reveal their hand instead)[/color][/i] and then disca"&amp;"rd a card of your choice.[/p]")</f>
        <v xml:space="preserve">[p]As [i]Covert Interview[/i] resolves you may pay [img=45]res://textures/icons/R.png[/img] or [img=45]res://textures/icons/P.png[/img], if you do, choose a player to [u]decay 1[/u] [i][color=#34343A](The specified player puts the top card of their deck into their discard.)[/color][/i][font_size=15]\n\n[/font_size]Chose an opponent to reveal 3 unrevealed cards of their choice in their hand [i][color=#34343A](If they have 3 or less unrevealed cards they reveal their hand instead)[/color][/i] and then discard a card of your choice.[/p]</v>
      </c>
      <c r="W96" s="6" t="str">
        <f t="shared" si="6"/>
        <v>[i]Effect[/i]</v>
      </c>
      <c r="X96" s="1" t="str">
        <f t="shared" si="7"/>
        <v>RS_RU_002</v>
      </c>
      <c r="Y96" s="1"/>
    </row>
    <row r="97">
      <c r="A97" s="7" t="s">
        <v>233</v>
      </c>
      <c r="B97" s="7" t="s">
        <v>234</v>
      </c>
      <c r="C97" s="12" t="s">
        <v>235</v>
      </c>
      <c r="D97" s="9" t="str">
        <f>IFERROR(__xludf.DUMMYFUNCTION("IF(ISBLANK(A97),"""",SWITCH(IF(T97="""",0,COUNTA(SPLIT(T97,"" ""))),0,""Generic"",1,TRIM(T97),2,""Multicolor"",3,""Multicolor"",4,""Multicolor"",5,""Multicolor"",6,""Multicolor"",7,""Multicolor"",8,""Multicolor""))"),"Red")</f>
        <v>Red</v>
      </c>
      <c r="E97" s="1"/>
      <c r="F97" s="1" t="s">
        <v>26</v>
      </c>
      <c r="G97" s="7" t="s">
        <v>236</v>
      </c>
      <c r="H97" s="10" t="s">
        <v>58</v>
      </c>
      <c r="I97" s="11" t="s">
        <v>237</v>
      </c>
      <c r="J97" s="11"/>
      <c r="K97" s="6" t="s">
        <v>39</v>
      </c>
      <c r="L97" s="6" t="s">
        <v>39</v>
      </c>
      <c r="O97" s="11"/>
      <c r="Q97" s="7">
        <v>50</v>
      </c>
      <c r="R97" s="7">
        <v>50</v>
      </c>
      <c r="S97" s="1" t="str">
        <f t="shared" si="5"/>
        <v>False</v>
      </c>
      <c r="T97" s="6" t="str">
        <f>IFERROR(__xludf.DUMMYFUNCTION("CONCATENATE(if(REGEXMATCH(C97,""R""),"" Red"",""""),if(REGEXMATCH(C97,""O""),"" Orange"",""""),if(REGEXMATCH(C97,""Y""),"" Yellow"",""""),if(REGEXMATCH(C97,""G""),"" Green"",""""),if(REGEXMATCH(C97,""B""),"" Blue"",""""),if(REGEXMATCH(C97,""P""),"" Purple"&amp;""",""""))")," Red")</f>
        <v>Red</v>
      </c>
      <c r="U97" s="6" t="str">
        <f>IFERROR(__xludf.DUMMYFUNCTION("TRIM(CONCAT(""[right]"", REGEXREPLACE(C97, ""([ROYGBPXZC_]|1?[0-9])"", ""[img=119]res://textures/icons/$0.png[/img]\\n"")))"),"[right][img=119]res://textures/icons/R.png[/img]\n[img=119]res://textures/icons/R.png[/img]\n[img=119]res://textures/icons/R.png[/img]\n")</f>
        <v>[right][img=119]res://textures/icons/R.png[/img]\n[img=119]res://textures/icons/R.png[/img]\n[img=119]res://textures/icons/R.png[/img]\n</v>
      </c>
      <c r="V97" s="1" t="str">
        <f>IFERROR(__xludf.DUMMYFUNCTION("SUBSTITUTE(SUBSTITUTE(SUBSTITUTE(SUBSTITUTE(REGEXREPLACE(SUBSTITUTE(SUBSTITUTE(SUBSTITUTE(SUBSTITUTE(REGEXREPLACE(I97, ""(\[([ROYGBPTQUXZC_]|1?[0-9])\])"", ""[img=45]res://textures/icons/$2.png[/img]""),""--"",""—""),""-&gt;"",""•""),""~@"", CONCATENATE(""[i"&amp;"]"",REGEXEXTRACT(B97,""^([\s\S]*),|$""),""[/i]"")),""~"", CONCATENATE(""[i]"",B97,""[/i]"")),""(\([\s\S]*?\))"",""[i][color=#34343A]$0[/color][/i]""), ""&lt;"", ""[""), ""&gt;"", ""]""), ""[/p][p]"", ""[font_size=15]\n\n[/font_size]""), ""[br/]"", ""\n"")"),"[p]Whenever a player draws a card, their commander loses 1 loyalty [i][color=#34343A](this does not cause them to draw more cards.)[/color][/i][font_size=15]\n\n[/font_size]If [i]Information Sniffer[/i] is in a vehicle, its effect is only applied to your "&amp;"opponents.[/p]")</f>
        <v xml:space="preserve">[p]Whenever a player draws a card, their commander loses 1 loyalty [i][color=#34343A](this does not cause them to draw more cards.)[/color][/i][font_size=15]\n\n[/font_size]If [i]Information Sniffer[/i] is in a vehicle, its effect is only applied to your opponents.[/p]</v>
      </c>
      <c r="W97" s="6" t="str">
        <f t="shared" si="6"/>
        <v>[i]Asset[/i]</v>
      </c>
      <c r="X97" s="1" t="str">
        <f t="shared" si="7"/>
        <v>RS_RU_003</v>
      </c>
      <c r="Y97" s="1"/>
    </row>
    <row r="98">
      <c r="A98" s="7" t="s">
        <v>238</v>
      </c>
      <c r="B98" s="7" t="s">
        <v>239</v>
      </c>
      <c r="C98" s="12" t="s">
        <v>240</v>
      </c>
      <c r="D98" s="9" t="str">
        <f>IFERROR(__xludf.DUMMYFUNCTION("IF(ISBLANK(A98),"""",SWITCH(IF(T98="""",0,COUNTA(SPLIT(T98,"" ""))),0,""Generic"",1,TRIM(T98),2,""Multicolor"",3,""Multicolor"",4,""Multicolor"",5,""Multicolor"",6,""Multicolor"",7,""Multicolor"",8,""Multicolor""))"),"Multicolor")</f>
        <v>Multicolor</v>
      </c>
      <c r="E98" s="1"/>
      <c r="F98" s="1" t="s">
        <v>26</v>
      </c>
      <c r="G98" s="7" t="s">
        <v>211</v>
      </c>
      <c r="H98" s="10" t="s">
        <v>70</v>
      </c>
      <c r="I98" s="11" t="s">
        <v>241</v>
      </c>
      <c r="J98" s="11"/>
      <c r="K98" s="7">
        <v>1</v>
      </c>
      <c r="L98" s="7">
        <v>1</v>
      </c>
      <c r="O98" s="11"/>
      <c r="Q98" s="7">
        <v>60</v>
      </c>
      <c r="R98" s="7">
        <v>50</v>
      </c>
      <c r="S98" s="1" t="str">
        <f t="shared" si="5"/>
        <v>True</v>
      </c>
      <c r="T98" s="6" t="str">
        <f>IFERROR(__xludf.DUMMYFUNCTION("CONCATENATE(if(REGEXMATCH(C98,""R""),"" Red"",""""),if(REGEXMATCH(C98,""O""),"" Orange"",""""),if(REGEXMATCH(C98,""Y""),"" Yellow"",""""),if(REGEXMATCH(C98,""G""),"" Green"",""""),if(REGEXMATCH(C98,""B""),"" Blue"",""""),if(REGEXMATCH(C98,""P""),"" Purple"&amp;""",""""))")," Red Purple")</f>
        <v xml:space="preserve">Red Purple</v>
      </c>
      <c r="U98" s="6" t="str">
        <f>IFERROR(__xludf.DUMMYFUNCTION("TRIM(CONCAT(""[right]"", REGEXREPLACE(C98, ""([ROYGBPXZC_]|1?[0-9])"", ""[img=119]res://textures/icons/$0.png[/img]\\n"")))"),"[right][img=119]res://textures/icons/R.png[/img]\n[img=119]res://textures/icons/P.png[/img]\n")</f>
        <v>[right][img=119]res://textures/icons/R.png[/img]\n[img=119]res://textures/icons/P.png[/img]\n</v>
      </c>
      <c r="V98" s="1" t="str">
        <f>IFERROR(__xludf.DUMMYFUNCTION("SUBSTITUTE(SUBSTITUTE(SUBSTITUTE(SUBSTITUTE(REGEXREPLACE(SUBSTITUTE(SUBSTITUTE(SUBSTITUTE(SUBSTITUTE(REGEXREPLACE(I98, ""(\[([ROYGBPTQUXZC_]|1?[0-9])\])"", ""[img=45]res://textures/icons/$2.png[/img]""),""--"",""—""),""-&gt;"",""•""),""~@"", CONCATENATE(""[i"&amp;"]"",REGEXEXTRACT(B98,""^([\s\S]*),|$""),""[/i]"")),""~"", CONCATENATE(""[i]"",B98,""[/i]"")),""(\([\s\S]*?\))"",""[i][color=#34343A]$0[/color][/i]""), ""&lt;"", ""[""), ""&gt;"", ""]""), ""[/p][p]"", ""[font_size=15]\n\n[/font_size]""), ""[br/]"", ""\n"")"),"[p][u]Uninterceptable[/u] [i][color=#34343A]([i]Intrepid Reporter[/i] can't be intercepted.)[/color][/i][font_size=15]\n\n[/font_size]Whenever [i]Intrepid Reporter[/i] deals damage to a commander, each player reveals the top card of their deck. You may pu"&amp;"t any of those cards into their owner's discard.[/p]")</f>
        <v xml:space="preserve">[p][u]Uninterceptable[/u] [i][color=#34343A]([i]Intrepid Reporter[/i] can't be intercepted.)[/color][/i][font_size=15]\n\n[/font_size]Whenever [i]Intrepid Reporter[/i] deals damage to a commander, each player reveals the top card of their deck. You may put any of those cards into their owner's discard.[/p]</v>
      </c>
      <c r="W98" s="6" t="str">
        <f t="shared" si="6"/>
        <v>[i]Asset[/i]</v>
      </c>
      <c r="X98" s="1" t="str">
        <f t="shared" si="7"/>
        <v>RS_MU_RP_001</v>
      </c>
      <c r="Y98" s="1"/>
    </row>
    <row r="99">
      <c r="A99" s="7" t="s">
        <v>75</v>
      </c>
      <c r="B99" s="6" t="str">
        <f t="shared" si="8"/>
        <v>U</v>
      </c>
      <c r="C99" s="8"/>
      <c r="D99" s="9" t="str">
        <f>IFERROR(__xludf.DUMMYFUNCTION("IF(ISBLANK(A99),"""",SWITCH(IF(T99="""",0,COUNTA(SPLIT(T99,"" ""))),0,""Generic"",1,TRIM(T99),2,""Multicolor"",3,""Multicolor"",4,""Multicolor"",5,""Multicolor"",6,""Multicolor"",7,""Multicolor"",8,""Multicolor""))"),"Generic")</f>
        <v>Generic</v>
      </c>
      <c r="E99" s="1"/>
      <c r="F99" s="1"/>
      <c r="H99" s="10"/>
      <c r="I99" s="11"/>
      <c r="J99" s="11"/>
      <c r="K99" s="6" t="s">
        <v>39</v>
      </c>
      <c r="L99" s="6" t="s">
        <v>39</v>
      </c>
      <c r="O99" s="11"/>
      <c r="Q99" s="7">
        <v>60</v>
      </c>
      <c r="R99" s="7">
        <v>50</v>
      </c>
      <c r="S99" s="1" t="str">
        <f t="shared" si="5"/>
        <v>False</v>
      </c>
      <c r="T99" s="6" t="str">
        <f>IFERROR(__xludf.DUMMYFUNCTION("CONCATENATE(if(REGEXMATCH(C99,""R""),"" Red"",""""),if(REGEXMATCH(C99,""O""),"" Orange"",""""),if(REGEXMATCH(C99,""Y""),"" Yellow"",""""),if(REGEXMATCH(C99,""G""),"" Green"",""""),if(REGEXMATCH(C99,""B""),"" Blue"",""""),if(REGEXMATCH(C99,""P""),"" Purple"&amp;""",""""))"),"")</f>
        <v/>
      </c>
      <c r="U99" s="6" t="str">
        <f>IFERROR(__xludf.DUMMYFUNCTION("TRIM(CONCAT(""[right]"", REGEXREPLACE(C99, ""([ROYGBPXZC_]|1?[0-9])"", ""[img=119]res://textures/icons/$0.png[/img]\\n"")))"),"[right]")</f>
        <v>[right]</v>
      </c>
      <c r="V99" s="1" t="str">
        <f>IFERROR(__xludf.DUMMYFUNCTION("SUBSTITUTE(SUBSTITUTE(SUBSTITUTE(SUBSTITUTE(REGEXREPLACE(SUBSTITUTE(SUBSTITUTE(SUBSTITUTE(SUBSTITUTE(REGEXREPLACE(I99, ""(\[([ROYGBPTQUXZC_]|1?[0-9])\])"", ""[img=45]res://textures/icons/$2.png[/img]""),""--"",""—""),""-&gt;"",""•""),""~@"", CONCATENATE(""[i"&amp;"]"",REGEXEXTRACT(B99,""^([\s\S]*),|$""),""[/i]"")),""~"", CONCATENATE(""[i]"",B99,""[/i]"")),""(\([\s\S]*?\))"",""[i][color=#34343A]$0[/color][/i]""), ""&lt;"", ""[""), ""&gt;"", ""]""), ""[/p][p]"", ""[font_size=15]\n\n[/font_size]""), ""[br/]"", ""\n"")"),"")</f>
        <v/>
      </c>
      <c r="W99" s="6" t="str">
        <f t="shared" si="6"/>
        <v>[i][/i]</v>
      </c>
      <c r="X99" s="1" t="str">
        <f t="shared" si="7"/>
        <v>0</v>
      </c>
      <c r="Y99" s="1"/>
    </row>
    <row r="100">
      <c r="A100" s="7" t="s">
        <v>75</v>
      </c>
      <c r="B100" s="6" t="str">
        <f t="shared" si="8"/>
        <v>U</v>
      </c>
      <c r="C100" s="8"/>
      <c r="D100" s="9" t="str">
        <f>IFERROR(__xludf.DUMMYFUNCTION("IF(ISBLANK(A100),"""",SWITCH(IF(T100="""",0,COUNTA(SPLIT(T100,"" ""))),0,""Generic"",1,TRIM(T100),2,""Multicolor"",3,""Multicolor"",4,""Multicolor"",5,""Multicolor"",6,""Multicolor"",7,""Multicolor"",8,""Multicolor""))"),"Generic")</f>
        <v>Generic</v>
      </c>
      <c r="E100" s="1"/>
      <c r="F100" s="1"/>
      <c r="H100" s="10"/>
      <c r="I100" s="11"/>
      <c r="J100" s="11"/>
      <c r="K100" s="6" t="s">
        <v>39</v>
      </c>
      <c r="L100" s="6" t="s">
        <v>39</v>
      </c>
      <c r="O100" s="11"/>
      <c r="Q100" s="7">
        <v>60</v>
      </c>
      <c r="R100" s="7">
        <v>50</v>
      </c>
      <c r="S100" s="1" t="str">
        <f t="shared" si="5"/>
        <v>False</v>
      </c>
      <c r="T100" s="6" t="str">
        <f>IFERROR(__xludf.DUMMYFUNCTION("CONCATENATE(if(REGEXMATCH(C100,""R""),"" Red"",""""),if(REGEXMATCH(C100,""O""),"" Orange"",""""),if(REGEXMATCH(C100,""Y""),"" Yellow"",""""),if(REGEXMATCH(C100,""G""),"" Green"",""""),if(REGEXMATCH(C100,""B""),"" Blue"",""""),if(REGEXMATCH(C100,""P""),"" "&amp;"Purple"",""""))"),"")</f>
        <v/>
      </c>
      <c r="U100" s="6" t="str">
        <f>IFERROR(__xludf.DUMMYFUNCTION("TRIM(CONCAT(""[right]"", REGEXREPLACE(C100, ""([ROYGBPXZC_]|1?[0-9])"", ""[img=119]res://textures/icons/$0.png[/img]\\n"")))"),"[right]")</f>
        <v>[right]</v>
      </c>
      <c r="V100" s="1" t="str">
        <f>IFERROR(__xludf.DUMMYFUNCTION("SUBSTITUTE(SUBSTITUTE(SUBSTITUTE(SUBSTITUTE(REGEXREPLACE(SUBSTITUTE(SUBSTITUTE(SUBSTITUTE(SUBSTITUTE(REGEXREPLACE(I100, ""(\[([ROYGBPTQUXZC_]|1?[0-9])\])"", ""[img=45]res://textures/icons/$2.png[/img]""),""--"",""—""),""-&gt;"",""•""),""~@"", CONCATENATE(""["&amp;"i]"",REGEXEXTRACT(B100,""^([\s\S]*),|$""),""[/i]"")),""~"", CONCATENATE(""[i]"",B100,""[/i]"")),""(\([\s\S]*?\))"",""[i][color=#34343A]$0[/color][/i]""), ""&lt;"", ""[""), ""&gt;"", ""]""), ""[/p][p]"", ""[font_size=15]\n\n[/font_size]""), ""[br/]"", ""\n"")"),"")</f>
        <v/>
      </c>
      <c r="W100" s="6" t="str">
        <f t="shared" si="6"/>
        <v>[i][/i]</v>
      </c>
      <c r="X100" s="1" t="str">
        <f t="shared" si="7"/>
        <v>0</v>
      </c>
      <c r="Y100" s="1"/>
    </row>
    <row r="101">
      <c r="A101" s="7" t="s">
        <v>75</v>
      </c>
      <c r="B101" s="6" t="str">
        <f t="shared" si="8"/>
        <v>U</v>
      </c>
      <c r="C101" s="8"/>
      <c r="D101" s="9" t="str">
        <f>IFERROR(__xludf.DUMMYFUNCTION("IF(ISBLANK(A101),"""",SWITCH(IF(T101="""",0,COUNTA(SPLIT(T101,"" ""))),0,""Generic"",1,TRIM(T101),2,""Multicolor"",3,""Multicolor"",4,""Multicolor"",5,""Multicolor"",6,""Multicolor"",7,""Multicolor"",8,""Multicolor""))"),"Generic")</f>
        <v>Generic</v>
      </c>
      <c r="E101" s="1"/>
      <c r="F101" s="1"/>
      <c r="H101" s="10"/>
      <c r="I101" s="11"/>
      <c r="J101" s="11"/>
      <c r="K101" s="6" t="s">
        <v>39</v>
      </c>
      <c r="L101" s="6" t="s">
        <v>39</v>
      </c>
      <c r="O101" s="11"/>
      <c r="Q101" s="7">
        <v>60</v>
      </c>
      <c r="R101" s="7">
        <v>50</v>
      </c>
      <c r="S101" s="1" t="str">
        <f t="shared" si="5"/>
        <v>False</v>
      </c>
      <c r="T101" s="6" t="str">
        <f>IFERROR(__xludf.DUMMYFUNCTION("CONCATENATE(if(REGEXMATCH(C101,""R""),"" Red"",""""),if(REGEXMATCH(C101,""O""),"" Orange"",""""),if(REGEXMATCH(C101,""Y""),"" Yellow"",""""),if(REGEXMATCH(C101,""G""),"" Green"",""""),if(REGEXMATCH(C101,""B""),"" Blue"",""""),if(REGEXMATCH(C101,""P""),"" "&amp;"Purple"",""""))"),"")</f>
        <v/>
      </c>
      <c r="U101" s="6" t="str">
        <f>IFERROR(__xludf.DUMMYFUNCTION("TRIM(CONCAT(""[right]"", REGEXREPLACE(C101, ""([ROYGBPXZC_]|1?[0-9])"", ""[img=119]res://textures/icons/$0.png[/img]\\n"")))"),"[right]")</f>
        <v>[right]</v>
      </c>
      <c r="V101" s="1" t="str">
        <f>IFERROR(__xludf.DUMMYFUNCTION("SUBSTITUTE(SUBSTITUTE(SUBSTITUTE(SUBSTITUTE(REGEXREPLACE(SUBSTITUTE(SUBSTITUTE(SUBSTITUTE(SUBSTITUTE(REGEXREPLACE(I101, ""(\[([ROYGBPTQUXZC_]|1?[0-9])\])"", ""[img=45]res://textures/icons/$2.png[/img]""),""--"",""—""),""-&gt;"",""•""),""~@"", CONCATENATE(""["&amp;"i]"",REGEXEXTRACT(B101,""^([\s\S]*),|$""),""[/i]"")),""~"", CONCATENATE(""[i]"",B101,""[/i]"")),""(\([\s\S]*?\))"",""[i][color=#34343A]$0[/color][/i]""), ""&lt;"", ""[""), ""&gt;"", ""]""), ""[/p][p]"", ""[font_size=15]\n\n[/font_size]""), ""[br/]"", ""\n"")"),"")</f>
        <v/>
      </c>
      <c r="W101" s="6" t="str">
        <f t="shared" si="6"/>
        <v>[i][/i]</v>
      </c>
      <c r="X101" s="1" t="str">
        <f t="shared" si="7"/>
        <v>0</v>
      </c>
      <c r="Y101" s="1"/>
    </row>
    <row r="102">
      <c r="A102" s="7" t="s">
        <v>242</v>
      </c>
      <c r="B102" s="7" t="s">
        <v>243</v>
      </c>
      <c r="C102" s="12" t="s">
        <v>244</v>
      </c>
      <c r="D102" s="9" t="str">
        <f>IFERROR(__xludf.DUMMYFUNCTION("IF(ISBLANK(A102),"""",SWITCH(IF(T102="""",0,COUNTA(SPLIT(T102,"" ""))),0,""Generic"",1,TRIM(T102),2,""Multicolor"",3,""Multicolor"",4,""Multicolor"",5,""Multicolor"",6,""Multicolor"",7,""Multicolor"",8,""Multicolor""))"),"Purple")</f>
        <v>Purple</v>
      </c>
      <c r="E102" s="1"/>
      <c r="F102" s="1" t="s">
        <v>35</v>
      </c>
      <c r="G102" s="7" t="s">
        <v>64</v>
      </c>
      <c r="H102" s="10" t="s">
        <v>183</v>
      </c>
      <c r="I102" s="11" t="s">
        <v>245</v>
      </c>
      <c r="J102" s="11"/>
      <c r="K102" s="6" t="s">
        <v>39</v>
      </c>
      <c r="L102" s="6" t="s">
        <v>39</v>
      </c>
      <c r="O102" s="11"/>
      <c r="Q102" s="7">
        <v>45</v>
      </c>
      <c r="R102" s="7">
        <v>50</v>
      </c>
      <c r="S102" s="1" t="str">
        <f t="shared" si="5"/>
        <v>False</v>
      </c>
      <c r="T102" s="6" t="str">
        <f>IFERROR(__xludf.DUMMYFUNCTION("CONCATENATE(if(REGEXMATCH(C102,""R""),"" Red"",""""),if(REGEXMATCH(C102,""O""),"" Orange"",""""),if(REGEXMATCH(C102,""Y""),"" Yellow"",""""),if(REGEXMATCH(C102,""G""),"" Green"",""""),if(REGEXMATCH(C102,""B""),"" Blue"",""""),if(REGEXMATCH(C102,""P""),"" "&amp;"Purple"",""""))")," Purple")</f>
        <v>Purple</v>
      </c>
      <c r="U102" s="6" t="str">
        <f>IFERROR(__xludf.DUMMYFUNCTION("TRIM(CONCAT(""[right]"", REGEXREPLACE(C102, ""([ROYGBPXZC_]|1?[0-9])"", ""[img=119]res://textures/icons/$0.png[/img]\\n"")))"),"[right][img=119]res://textures/icons/P.png[/img]\n")</f>
        <v>[right][img=119]res://textures/icons/P.png[/img]\n</v>
      </c>
      <c r="V102" s="1" t="str">
        <f>IFERROR(__xludf.DUMMYFUNCTION("SUBSTITUTE(SUBSTITUTE(SUBSTITUTE(SUBSTITUTE(REGEXREPLACE(SUBSTITUTE(SUBSTITUTE(SUBSTITUTE(SUBSTITUTE(REGEXREPLACE(I102, ""(\[([ROYGBPTQUXZC_]|1?[0-9])\])"", ""[img=45]res://textures/icons/$2.png[/img]""),""--"",""—""),""-&gt;"",""•""),""~@"", CONCATENATE(""["&amp;"i]"",REGEXEXTRACT(B102,""^([\s\S]*),|$""),""[/i]"")),""~"", CONCATENATE(""[i]"",B102,""[/i]"")),""(\([\s\S]*?\))"",""[i][color=#34343A]$0[/color][/i]""), ""&lt;"", ""[""), ""&gt;"", ""]""), ""[/p][p]"", ""[font_size=15]\n\n[/font_size]""), ""[br/]"", ""\n"")"),"[center]Choose any number of players to [u]decay 1[/u] [i][color=#34343A](The specified players each put the top card of their deck into their discard.)[/color][/i][/center]")</f>
        <v xml:space="preserve">[center]Choose any number of players to [u]decay 1[/u] [i][color=#34343A](The specified players each put the top card of their deck into their discard.)[/color][/i][/center]</v>
      </c>
      <c r="W102" s="6" t="str">
        <f t="shared" si="6"/>
        <v>[i]Effect[/i]</v>
      </c>
      <c r="X102" s="1" t="str">
        <f t="shared" si="7"/>
        <v>RS_PC_001</v>
      </c>
      <c r="Y102" s="1"/>
    </row>
    <row r="103">
      <c r="A103" s="7" t="s">
        <v>76</v>
      </c>
      <c r="B103" s="6" t="str">
        <f t="shared" ref="B103:B166" si="9">A103</f>
        <v>C</v>
      </c>
      <c r="C103" s="8"/>
      <c r="D103" s="9" t="str">
        <f>IFERROR(__xludf.DUMMYFUNCTION("IF(ISBLANK(A103),"""",SWITCH(IF(T103="""",0,COUNTA(SPLIT(T103,"" ""))),0,""Generic"",1,TRIM(T103),2,""Multicolor"",3,""Multicolor"",4,""Multicolor"",5,""Multicolor"",6,""Multicolor"",7,""Multicolor"",8,""Multicolor""))"),"Generic")</f>
        <v>Generic</v>
      </c>
      <c r="E103" s="1"/>
      <c r="F103" s="1"/>
      <c r="H103" s="10"/>
      <c r="I103" s="11"/>
      <c r="J103" s="11"/>
      <c r="K103" s="6" t="s">
        <v>39</v>
      </c>
      <c r="L103" s="6" t="s">
        <v>39</v>
      </c>
      <c r="O103" s="11"/>
      <c r="Q103" s="7">
        <v>60</v>
      </c>
      <c r="R103" s="7">
        <v>50</v>
      </c>
      <c r="S103" s="1" t="str">
        <f t="shared" si="5"/>
        <v>False</v>
      </c>
      <c r="T103" s="6" t="str">
        <f>IFERROR(__xludf.DUMMYFUNCTION("CONCATENATE(if(REGEXMATCH(C103,""R""),"" Red"",""""),if(REGEXMATCH(C103,""O""),"" Orange"",""""),if(REGEXMATCH(C103,""Y""),"" Yellow"",""""),if(REGEXMATCH(C103,""G""),"" Green"",""""),if(REGEXMATCH(C103,""B""),"" Blue"",""""),if(REGEXMATCH(C103,""P""),"" "&amp;"Purple"",""""))"),"")</f>
        <v/>
      </c>
      <c r="U103" s="6" t="str">
        <f>IFERROR(__xludf.DUMMYFUNCTION("TRIM(CONCAT(""[right]"", REGEXREPLACE(C103, ""([ROYGBPXZC_]|1?[0-9])"", ""[img=119]res://textures/icons/$0.png[/img]\\n"")))"),"[right]")</f>
        <v>[right]</v>
      </c>
      <c r="V103" s="1" t="str">
        <f>IFERROR(__xludf.DUMMYFUNCTION("SUBSTITUTE(SUBSTITUTE(SUBSTITUTE(SUBSTITUTE(REGEXREPLACE(SUBSTITUTE(SUBSTITUTE(SUBSTITUTE(SUBSTITUTE(REGEXREPLACE(I103, ""(\[([ROYGBPTQUXZC_]|1?[0-9])\])"", ""[img=45]res://textures/icons/$2.png[/img]""),""--"",""—""),""-&gt;"",""•""),""~@"", CONCATENATE(""["&amp;"i]"",REGEXEXTRACT(B103,""^([\s\S]*),|$""),""[/i]"")),""~"", CONCATENATE(""[i]"",B103,""[/i]"")),""(\([\s\S]*?\))"",""[i][color=#34343A]$0[/color][/i]""), ""&lt;"", ""[""), ""&gt;"", ""]""), ""[/p][p]"", ""[font_size=15]\n\n[/font_size]""), ""[br/]"", ""\n"")"),"")</f>
        <v/>
      </c>
      <c r="W103" s="6" t="str">
        <f t="shared" si="6"/>
        <v>[i][/i]</v>
      </c>
      <c r="X103" s="1" t="str">
        <f t="shared" si="7"/>
        <v>0</v>
      </c>
      <c r="Y103" s="1"/>
    </row>
    <row r="104">
      <c r="A104" s="7" t="s">
        <v>76</v>
      </c>
      <c r="B104" s="6" t="str">
        <f t="shared" si="9"/>
        <v>C</v>
      </c>
      <c r="C104" s="8"/>
      <c r="D104" s="9" t="str">
        <f>IFERROR(__xludf.DUMMYFUNCTION("IF(ISBLANK(A104),"""",SWITCH(IF(T104="""",0,COUNTA(SPLIT(T104,"" ""))),0,""Generic"",1,TRIM(T104),2,""Multicolor"",3,""Multicolor"",4,""Multicolor"",5,""Multicolor"",6,""Multicolor"",7,""Multicolor"",8,""Multicolor""))"),"Generic")</f>
        <v>Generic</v>
      </c>
      <c r="E104" s="1"/>
      <c r="F104" s="1"/>
      <c r="H104" s="10"/>
      <c r="I104" s="11"/>
      <c r="J104" s="11"/>
      <c r="K104" s="6" t="s">
        <v>39</v>
      </c>
      <c r="L104" s="6" t="s">
        <v>39</v>
      </c>
      <c r="O104" s="11"/>
      <c r="Q104" s="7">
        <v>60</v>
      </c>
      <c r="R104" s="7">
        <v>50</v>
      </c>
      <c r="S104" s="1" t="str">
        <f t="shared" si="5"/>
        <v>False</v>
      </c>
      <c r="T104" s="6" t="str">
        <f>IFERROR(__xludf.DUMMYFUNCTION("CONCATENATE(if(REGEXMATCH(C104,""R""),"" Red"",""""),if(REGEXMATCH(C104,""O""),"" Orange"",""""),if(REGEXMATCH(C104,""Y""),"" Yellow"",""""),if(REGEXMATCH(C104,""G""),"" Green"",""""),if(REGEXMATCH(C104,""B""),"" Blue"",""""),if(REGEXMATCH(C104,""P""),"" "&amp;"Purple"",""""))"),"")</f>
        <v/>
      </c>
      <c r="U104" s="6" t="str">
        <f>IFERROR(__xludf.DUMMYFUNCTION("TRIM(CONCAT(""[right]"", REGEXREPLACE(C104, ""([ROYGBPXZC_]|1?[0-9])"", ""[img=119]res://textures/icons/$0.png[/img]\\n"")))"),"[right]")</f>
        <v>[right]</v>
      </c>
      <c r="V104" s="1" t="str">
        <f>IFERROR(__xludf.DUMMYFUNCTION("SUBSTITUTE(SUBSTITUTE(SUBSTITUTE(SUBSTITUTE(REGEXREPLACE(SUBSTITUTE(SUBSTITUTE(SUBSTITUTE(SUBSTITUTE(REGEXREPLACE(I104, ""(\[([ROYGBPTQUXZC_]|1?[0-9])\])"", ""[img=45]res://textures/icons/$2.png[/img]""),""--"",""—""),""-&gt;"",""•""),""~@"", CONCATENATE(""["&amp;"i]"",REGEXEXTRACT(B104,""^([\s\S]*),|$""),""[/i]"")),""~"", CONCATENATE(""[i]"",B104,""[/i]"")),""(\([\s\S]*?\))"",""[i][color=#34343A]$0[/color][/i]""), ""&lt;"", ""[""), ""&gt;"", ""]""), ""[/p][p]"", ""[font_size=15]\n\n[/font_size]""), ""[br/]"", ""\n"")"),"")</f>
        <v/>
      </c>
      <c r="W104" s="6" t="str">
        <f t="shared" si="6"/>
        <v>[i][/i]</v>
      </c>
      <c r="X104" s="1" t="str">
        <f t="shared" si="7"/>
        <v>0</v>
      </c>
      <c r="Y104" s="1"/>
    </row>
    <row r="105">
      <c r="A105" s="7" t="s">
        <v>76</v>
      </c>
      <c r="B105" s="6" t="str">
        <f t="shared" si="9"/>
        <v>C</v>
      </c>
      <c r="C105" s="8"/>
      <c r="D105" s="9" t="str">
        <f>IFERROR(__xludf.DUMMYFUNCTION("IF(ISBLANK(A105),"""",SWITCH(IF(T105="""",0,COUNTA(SPLIT(T105,"" ""))),0,""Generic"",1,TRIM(T105),2,""Multicolor"",3,""Multicolor"",4,""Multicolor"",5,""Multicolor"",6,""Multicolor"",7,""Multicolor"",8,""Multicolor""))"),"Generic")</f>
        <v>Generic</v>
      </c>
      <c r="E105" s="1"/>
      <c r="F105" s="1"/>
      <c r="H105" s="10"/>
      <c r="I105" s="11"/>
      <c r="J105" s="11"/>
      <c r="K105" s="6" t="s">
        <v>39</v>
      </c>
      <c r="L105" s="6" t="s">
        <v>39</v>
      </c>
      <c r="O105" s="11"/>
      <c r="Q105" s="7">
        <v>60</v>
      </c>
      <c r="R105" s="7">
        <v>50</v>
      </c>
      <c r="S105" s="1" t="str">
        <f t="shared" si="5"/>
        <v>False</v>
      </c>
      <c r="T105" s="6" t="str">
        <f>IFERROR(__xludf.DUMMYFUNCTION("CONCATENATE(if(REGEXMATCH(C105,""R""),"" Red"",""""),if(REGEXMATCH(C105,""O""),"" Orange"",""""),if(REGEXMATCH(C105,""Y""),"" Yellow"",""""),if(REGEXMATCH(C105,""G""),"" Green"",""""),if(REGEXMATCH(C105,""B""),"" Blue"",""""),if(REGEXMATCH(C105,""P""),"" "&amp;"Purple"",""""))"),"")</f>
        <v/>
      </c>
      <c r="U105" s="6" t="str">
        <f>IFERROR(__xludf.DUMMYFUNCTION("TRIM(CONCAT(""[right]"", REGEXREPLACE(C105, ""([ROYGBPXZC_]|1?[0-9])"", ""[img=119]res://textures/icons/$0.png[/img]\\n"")))"),"[right]")</f>
        <v>[right]</v>
      </c>
      <c r="V105" s="1" t="str">
        <f>IFERROR(__xludf.DUMMYFUNCTION("SUBSTITUTE(SUBSTITUTE(SUBSTITUTE(SUBSTITUTE(REGEXREPLACE(SUBSTITUTE(SUBSTITUTE(SUBSTITUTE(SUBSTITUTE(REGEXREPLACE(I105, ""(\[([ROYGBPTQUXZC_]|1?[0-9])\])"", ""[img=45]res://textures/icons/$2.png[/img]""),""--"",""—""),""-&gt;"",""•""),""~@"", CONCATENATE(""["&amp;"i]"",REGEXEXTRACT(B105,""^([\s\S]*),|$""),""[/i]"")),""~"", CONCATENATE(""[i]"",B105,""[/i]"")),""(\([\s\S]*?\))"",""[i][color=#34343A]$0[/color][/i]""), ""&lt;"", ""[""), ""&gt;"", ""]""), ""[/p][p]"", ""[font_size=15]\n\n[/font_size]""), ""[br/]"", ""\n"")"),"")</f>
        <v/>
      </c>
      <c r="W105" s="6" t="str">
        <f t="shared" si="6"/>
        <v>[i][/i]</v>
      </c>
      <c r="X105" s="1" t="str">
        <f t="shared" si="7"/>
        <v>0</v>
      </c>
      <c r="Y105" s="1"/>
    </row>
    <row r="106">
      <c r="A106" s="7" t="s">
        <v>76</v>
      </c>
      <c r="B106" s="6" t="str">
        <f t="shared" si="9"/>
        <v>C</v>
      </c>
      <c r="C106" s="8"/>
      <c r="D106" s="9" t="str">
        <f>IFERROR(__xludf.DUMMYFUNCTION("IF(ISBLANK(A106),"""",SWITCH(IF(T106="""",0,COUNTA(SPLIT(T106,"" ""))),0,""Generic"",1,TRIM(T106),2,""Multicolor"",3,""Multicolor"",4,""Multicolor"",5,""Multicolor"",6,""Multicolor"",7,""Multicolor"",8,""Multicolor""))"),"Generic")</f>
        <v>Generic</v>
      </c>
      <c r="E106" s="1"/>
      <c r="F106" s="1"/>
      <c r="H106" s="10"/>
      <c r="I106" s="11"/>
      <c r="J106" s="11"/>
      <c r="K106" s="6" t="s">
        <v>39</v>
      </c>
      <c r="L106" s="6" t="s">
        <v>39</v>
      </c>
      <c r="O106" s="11"/>
      <c r="Q106" s="7">
        <v>60</v>
      </c>
      <c r="R106" s="7">
        <v>50</v>
      </c>
      <c r="S106" s="1" t="str">
        <f t="shared" si="5"/>
        <v>False</v>
      </c>
      <c r="T106" s="6" t="str">
        <f>IFERROR(__xludf.DUMMYFUNCTION("CONCATENATE(if(REGEXMATCH(C106,""R""),"" Red"",""""),if(REGEXMATCH(C106,""O""),"" Orange"",""""),if(REGEXMATCH(C106,""Y""),"" Yellow"",""""),if(REGEXMATCH(C106,""G""),"" Green"",""""),if(REGEXMATCH(C106,""B""),"" Blue"",""""),if(REGEXMATCH(C106,""P""),"" "&amp;"Purple"",""""))"),"")</f>
        <v/>
      </c>
      <c r="U106" s="6" t="str">
        <f>IFERROR(__xludf.DUMMYFUNCTION("TRIM(CONCAT(""[right]"", REGEXREPLACE(C106, ""([ROYGBPXZC_]|1?[0-9])"", ""[img=119]res://textures/icons/$0.png[/img]\\n"")))"),"[right]")</f>
        <v>[right]</v>
      </c>
      <c r="V106" s="1" t="str">
        <f>IFERROR(__xludf.DUMMYFUNCTION("SUBSTITUTE(SUBSTITUTE(SUBSTITUTE(SUBSTITUTE(REGEXREPLACE(SUBSTITUTE(SUBSTITUTE(SUBSTITUTE(SUBSTITUTE(REGEXREPLACE(I106, ""(\[([ROYGBPTQUXZC_]|1?[0-9])\])"", ""[img=45]res://textures/icons/$2.png[/img]""),""--"",""—""),""-&gt;"",""•""),""~@"", CONCATENATE(""["&amp;"i]"",REGEXEXTRACT(B106,""^([\s\S]*),|$""),""[/i]"")),""~"", CONCATENATE(""[i]"",B106,""[/i]"")),""(\([\s\S]*?\))"",""[i][color=#34343A]$0[/color][/i]""), ""&lt;"", ""[""), ""&gt;"", ""]""), ""[/p][p]"", ""[font_size=15]\n\n[/font_size]""), ""[br/]"", ""\n"")"),"")</f>
        <v/>
      </c>
      <c r="W106" s="6" t="str">
        <f t="shared" si="6"/>
        <v>[i][/i]</v>
      </c>
      <c r="X106" s="1" t="str">
        <f t="shared" si="7"/>
        <v>0</v>
      </c>
      <c r="Y106" s="1"/>
    </row>
    <row r="107">
      <c r="A107" s="7" t="s">
        <v>76</v>
      </c>
      <c r="B107" s="6" t="str">
        <f t="shared" si="9"/>
        <v>C</v>
      </c>
      <c r="C107" s="8"/>
      <c r="D107" s="9" t="str">
        <f>IFERROR(__xludf.DUMMYFUNCTION("IF(ISBLANK(A107),"""",SWITCH(IF(T107="""",0,COUNTA(SPLIT(T107,"" ""))),0,""Generic"",1,TRIM(T107),2,""Multicolor"",3,""Multicolor"",4,""Multicolor"",5,""Multicolor"",6,""Multicolor"",7,""Multicolor"",8,""Multicolor""))"),"Generic")</f>
        <v>Generic</v>
      </c>
      <c r="E107" s="1"/>
      <c r="F107" s="1"/>
      <c r="H107" s="10"/>
      <c r="I107" s="11"/>
      <c r="J107" s="11"/>
      <c r="K107" s="6" t="s">
        <v>39</v>
      </c>
      <c r="L107" s="6" t="s">
        <v>39</v>
      </c>
      <c r="O107" s="11"/>
      <c r="Q107" s="7">
        <v>60</v>
      </c>
      <c r="R107" s="7">
        <v>50</v>
      </c>
      <c r="S107" s="1" t="str">
        <f t="shared" si="5"/>
        <v>False</v>
      </c>
      <c r="T107" s="6" t="str">
        <f>IFERROR(__xludf.DUMMYFUNCTION("CONCATENATE(if(REGEXMATCH(C107,""R""),"" Red"",""""),if(REGEXMATCH(C107,""O""),"" Orange"",""""),if(REGEXMATCH(C107,""Y""),"" Yellow"",""""),if(REGEXMATCH(C107,""G""),"" Green"",""""),if(REGEXMATCH(C107,""B""),"" Blue"",""""),if(REGEXMATCH(C107,""P""),"" "&amp;"Purple"",""""))"),"")</f>
        <v/>
      </c>
      <c r="U107" s="6" t="str">
        <f>IFERROR(__xludf.DUMMYFUNCTION("TRIM(CONCAT(""[right]"", REGEXREPLACE(C107, ""([ROYGBPXZC_]|1?[0-9])"", ""[img=119]res://textures/icons/$0.png[/img]\\n"")))"),"[right]")</f>
        <v>[right]</v>
      </c>
      <c r="V107" s="1" t="str">
        <f>IFERROR(__xludf.DUMMYFUNCTION("SUBSTITUTE(SUBSTITUTE(SUBSTITUTE(SUBSTITUTE(REGEXREPLACE(SUBSTITUTE(SUBSTITUTE(SUBSTITUTE(SUBSTITUTE(REGEXREPLACE(I107, ""(\[([ROYGBPTQUXZC_]|1?[0-9])\])"", ""[img=45]res://textures/icons/$2.png[/img]""),""--"",""—""),""-&gt;"",""•""),""~@"", CONCATENATE(""["&amp;"i]"",REGEXEXTRACT(B107,""^([\s\S]*),|$""),""[/i]"")),""~"", CONCATENATE(""[i]"",B107,""[/i]"")),""(\([\s\S]*?\))"",""[i][color=#34343A]$0[/color][/i]""), ""&lt;"", ""[""), ""&gt;"", ""]""), ""[/p][p]"", ""[font_size=15]\n\n[/font_size]""), ""[br/]"", ""\n"")"),"")</f>
        <v/>
      </c>
      <c r="W107" s="6" t="str">
        <f t="shared" si="6"/>
        <v>[i][/i]</v>
      </c>
      <c r="X107" s="1" t="str">
        <f t="shared" si="7"/>
        <v>0</v>
      </c>
      <c r="Y107" s="1"/>
    </row>
    <row r="108">
      <c r="A108" s="7" t="s">
        <v>76</v>
      </c>
      <c r="B108" s="6" t="str">
        <f t="shared" si="9"/>
        <v>C</v>
      </c>
      <c r="C108" s="8"/>
      <c r="D108" s="9" t="str">
        <f>IFERROR(__xludf.DUMMYFUNCTION("IF(ISBLANK(A108),"""",SWITCH(IF(T108="""",0,COUNTA(SPLIT(T108,"" ""))),0,""Generic"",1,TRIM(T108),2,""Multicolor"",3,""Multicolor"",4,""Multicolor"",5,""Multicolor"",6,""Multicolor"",7,""Multicolor"",8,""Multicolor""))"),"Generic")</f>
        <v>Generic</v>
      </c>
      <c r="E108" s="1"/>
      <c r="F108" s="1"/>
      <c r="H108" s="10"/>
      <c r="I108" s="11"/>
      <c r="J108" s="11"/>
      <c r="K108" s="6" t="s">
        <v>39</v>
      </c>
      <c r="L108" s="6" t="s">
        <v>39</v>
      </c>
      <c r="O108" s="11"/>
      <c r="Q108" s="7">
        <v>60</v>
      </c>
      <c r="R108" s="7">
        <v>50</v>
      </c>
      <c r="S108" s="1" t="str">
        <f t="shared" si="5"/>
        <v>False</v>
      </c>
      <c r="T108" s="6" t="str">
        <f>IFERROR(__xludf.DUMMYFUNCTION("CONCATENATE(if(REGEXMATCH(C108,""R""),"" Red"",""""),if(REGEXMATCH(C108,""O""),"" Orange"",""""),if(REGEXMATCH(C108,""Y""),"" Yellow"",""""),if(REGEXMATCH(C108,""G""),"" Green"",""""),if(REGEXMATCH(C108,""B""),"" Blue"",""""),if(REGEXMATCH(C108,""P""),"" "&amp;"Purple"",""""))"),"")</f>
        <v/>
      </c>
      <c r="U108" s="6" t="str">
        <f>IFERROR(__xludf.DUMMYFUNCTION("TRIM(CONCAT(""[right]"", REGEXREPLACE(C108, ""([ROYGBPXZC_]|1?[0-9])"", ""[img=119]res://textures/icons/$0.png[/img]\\n"")))"),"[right]")</f>
        <v>[right]</v>
      </c>
      <c r="V108" s="1" t="str">
        <f>IFERROR(__xludf.DUMMYFUNCTION("SUBSTITUTE(SUBSTITUTE(SUBSTITUTE(SUBSTITUTE(REGEXREPLACE(SUBSTITUTE(SUBSTITUTE(SUBSTITUTE(SUBSTITUTE(REGEXREPLACE(I108, ""(\[([ROYGBPTQUXZC_]|1?[0-9])\])"", ""[img=45]res://textures/icons/$2.png[/img]""),""--"",""—""),""-&gt;"",""•""),""~@"", CONCATENATE(""["&amp;"i]"",REGEXEXTRACT(B108,""^([\s\S]*),|$""),""[/i]"")),""~"", CONCATENATE(""[i]"",B108,""[/i]"")),""(\([\s\S]*?\))"",""[i][color=#34343A]$0[/color][/i]""), ""&lt;"", ""[""), ""&gt;"", ""]""), ""[/p][p]"", ""[font_size=15]\n\n[/font_size]""), ""[br/]"", ""\n"")"),"")</f>
        <v/>
      </c>
      <c r="W108" s="6" t="str">
        <f t="shared" si="6"/>
        <v>[i][/i]</v>
      </c>
      <c r="X108" s="1" t="str">
        <f t="shared" si="7"/>
        <v>0</v>
      </c>
      <c r="Y108" s="1"/>
    </row>
    <row r="109">
      <c r="A109" s="7" t="s">
        <v>76</v>
      </c>
      <c r="B109" s="6" t="str">
        <f t="shared" si="9"/>
        <v>C</v>
      </c>
      <c r="C109" s="8"/>
      <c r="D109" s="9" t="str">
        <f>IFERROR(__xludf.DUMMYFUNCTION("IF(ISBLANK(A109),"""",SWITCH(IF(T109="""",0,COUNTA(SPLIT(T109,"" ""))),0,""Generic"",1,TRIM(T109),2,""Multicolor"",3,""Multicolor"",4,""Multicolor"",5,""Multicolor"",6,""Multicolor"",7,""Multicolor"",8,""Multicolor""))"),"Generic")</f>
        <v>Generic</v>
      </c>
      <c r="E109" s="1"/>
      <c r="F109" s="1"/>
      <c r="H109" s="10"/>
      <c r="I109" s="11"/>
      <c r="J109" s="11"/>
      <c r="K109" s="6" t="s">
        <v>39</v>
      </c>
      <c r="L109" s="6" t="s">
        <v>39</v>
      </c>
      <c r="O109" s="11"/>
      <c r="Q109" s="7">
        <v>60</v>
      </c>
      <c r="R109" s="7">
        <v>50</v>
      </c>
      <c r="S109" s="1" t="str">
        <f t="shared" si="5"/>
        <v>False</v>
      </c>
      <c r="T109" s="6" t="str">
        <f>IFERROR(__xludf.DUMMYFUNCTION("CONCATENATE(if(REGEXMATCH(C109,""R""),"" Red"",""""),if(REGEXMATCH(C109,""O""),"" Orange"",""""),if(REGEXMATCH(C109,""Y""),"" Yellow"",""""),if(REGEXMATCH(C109,""G""),"" Green"",""""),if(REGEXMATCH(C109,""B""),"" Blue"",""""),if(REGEXMATCH(C109,""P""),"" "&amp;"Purple"",""""))"),"")</f>
        <v/>
      </c>
      <c r="U109" s="6" t="str">
        <f>IFERROR(__xludf.DUMMYFUNCTION("TRIM(CONCAT(""[right]"", REGEXREPLACE(C109, ""([ROYGBPXZC_]|1?[0-9])"", ""[img=119]res://textures/icons/$0.png[/img]\\n"")))"),"[right]")</f>
        <v>[right]</v>
      </c>
      <c r="V109" s="1" t="str">
        <f>IFERROR(__xludf.DUMMYFUNCTION("SUBSTITUTE(SUBSTITUTE(SUBSTITUTE(SUBSTITUTE(REGEXREPLACE(SUBSTITUTE(SUBSTITUTE(SUBSTITUTE(SUBSTITUTE(REGEXREPLACE(I109, ""(\[([ROYGBPTQUXZC_]|1?[0-9])\])"", ""[img=45]res://textures/icons/$2.png[/img]""),""--"",""—""),""-&gt;"",""•""),""~@"", CONCATENATE(""["&amp;"i]"",REGEXEXTRACT(B109,""^([\s\S]*),|$""),""[/i]"")),""~"", CONCATENATE(""[i]"",B109,""[/i]"")),""(\([\s\S]*?\))"",""[i][color=#34343A]$0[/color][/i]""), ""&lt;"", ""[""), ""&gt;"", ""]""), ""[/p][p]"", ""[font_size=15]\n\n[/font_size]""), ""[br/]"", ""\n"")"),"")</f>
        <v/>
      </c>
      <c r="W109" s="6" t="str">
        <f t="shared" si="6"/>
        <v>[i][/i]</v>
      </c>
      <c r="X109" s="1" t="str">
        <f t="shared" si="7"/>
        <v>0</v>
      </c>
      <c r="Y109" s="1"/>
    </row>
    <row r="110">
      <c r="A110" s="7" t="s">
        <v>76</v>
      </c>
      <c r="B110" s="6" t="str">
        <f t="shared" si="9"/>
        <v>C</v>
      </c>
      <c r="C110" s="8"/>
      <c r="D110" s="9" t="str">
        <f>IFERROR(__xludf.DUMMYFUNCTION("IF(ISBLANK(A110),"""",SWITCH(IF(T110="""",0,COUNTA(SPLIT(T110,"" ""))),0,""Generic"",1,TRIM(T110),2,""Multicolor"",3,""Multicolor"",4,""Multicolor"",5,""Multicolor"",6,""Multicolor"",7,""Multicolor"",8,""Multicolor""))"),"Generic")</f>
        <v>Generic</v>
      </c>
      <c r="E110" s="1"/>
      <c r="F110" s="1"/>
      <c r="H110" s="10"/>
      <c r="I110" s="11"/>
      <c r="J110" s="11"/>
      <c r="K110" s="6" t="s">
        <v>39</v>
      </c>
      <c r="L110" s="6" t="s">
        <v>39</v>
      </c>
      <c r="O110" s="11"/>
      <c r="Q110" s="7">
        <v>60</v>
      </c>
      <c r="R110" s="7">
        <v>50</v>
      </c>
      <c r="S110" s="1" t="str">
        <f t="shared" si="5"/>
        <v>False</v>
      </c>
      <c r="T110" s="6" t="str">
        <f>IFERROR(__xludf.DUMMYFUNCTION("CONCATENATE(if(REGEXMATCH(C110,""R""),"" Red"",""""),if(REGEXMATCH(C110,""O""),"" Orange"",""""),if(REGEXMATCH(C110,""Y""),"" Yellow"",""""),if(REGEXMATCH(C110,""G""),"" Green"",""""),if(REGEXMATCH(C110,""B""),"" Blue"",""""),if(REGEXMATCH(C110,""P""),"" "&amp;"Purple"",""""))"),"")</f>
        <v/>
      </c>
      <c r="U110" s="6" t="str">
        <f>IFERROR(__xludf.DUMMYFUNCTION("TRIM(CONCAT(""[right]"", REGEXREPLACE(C110, ""([ROYGBPXZC_]|1?[0-9])"", ""[img=119]res://textures/icons/$0.png[/img]\\n"")))"),"[right]")</f>
        <v>[right]</v>
      </c>
      <c r="V110" s="1" t="str">
        <f>IFERROR(__xludf.DUMMYFUNCTION("SUBSTITUTE(SUBSTITUTE(SUBSTITUTE(SUBSTITUTE(REGEXREPLACE(SUBSTITUTE(SUBSTITUTE(SUBSTITUTE(SUBSTITUTE(REGEXREPLACE(I110, ""(\[([ROYGBPTQUXZC_]|1?[0-9])\])"", ""[img=45]res://textures/icons/$2.png[/img]""),""--"",""—""),""-&gt;"",""•""),""~@"", CONCATENATE(""["&amp;"i]"",REGEXEXTRACT(B110,""^([\s\S]*),|$""),""[/i]"")),""~"", CONCATENATE(""[i]"",B110,""[/i]"")),""(\([\s\S]*?\))"",""[i][color=#34343A]$0[/color][/i]""), ""&lt;"", ""[""), ""&gt;"", ""]""), ""[/p][p]"", ""[font_size=15]\n\n[/font_size]""), ""[br/]"", ""\n"")"),"")</f>
        <v/>
      </c>
      <c r="W110" s="6" t="str">
        <f t="shared" si="6"/>
        <v>[i][/i]</v>
      </c>
      <c r="X110" s="1" t="str">
        <f t="shared" si="7"/>
        <v>0</v>
      </c>
      <c r="Y110" s="1"/>
    </row>
    <row r="111">
      <c r="A111" s="7" t="s">
        <v>246</v>
      </c>
      <c r="B111" s="7" t="s">
        <v>247</v>
      </c>
      <c r="C111" s="12" t="s">
        <v>248</v>
      </c>
      <c r="D111" s="9" t="str">
        <f>IFERROR(__xludf.DUMMYFUNCTION("IF(ISBLANK(A111),"""",SWITCH(IF(T111="""",0,COUNTA(SPLIT(T111,"" ""))),0,""Generic"",1,TRIM(T111),2,""Multicolor"",3,""Multicolor"",4,""Multicolor"",5,""Multicolor"",6,""Multicolor"",7,""Multicolor"",8,""Multicolor""))"),"Multicolor")</f>
        <v>Multicolor</v>
      </c>
      <c r="E111" s="1" t="s">
        <v>49</v>
      </c>
      <c r="F111" s="1" t="s">
        <v>80</v>
      </c>
      <c r="G111" s="7" t="s">
        <v>182</v>
      </c>
      <c r="H111" s="20">
        <v>7</v>
      </c>
      <c r="I111" s="11" t="s">
        <v>249</v>
      </c>
      <c r="K111" s="6">
        <v>4</v>
      </c>
      <c r="L111" s="6">
        <v>4</v>
      </c>
      <c r="O111" s="7" t="s">
        <v>250</v>
      </c>
      <c r="Q111" s="7">
        <v>45</v>
      </c>
      <c r="R111" s="7">
        <v>50</v>
      </c>
      <c r="S111" s="1" t="str">
        <f t="shared" si="5"/>
        <v>True</v>
      </c>
      <c r="T111" s="6" t="str">
        <f>IFERROR(__xludf.DUMMYFUNCTION("CONCATENATE(if(REGEXMATCH(C111,""R""),"" Red"",""""),if(REGEXMATCH(C111,""O""),"" Orange"",""""),if(REGEXMATCH(C111,""Y""),"" Yellow"",""""),if(REGEXMATCH(C111,""G""),"" Green"",""""),if(REGEXMATCH(C111,""B""),"" Blue"",""""),if(REGEXMATCH(C111,""P""),"" "&amp;"Purple"",""""))")," Orange Yellow")</f>
        <v xml:space="preserve">Orange Yellow</v>
      </c>
      <c r="U111" s="6" t="str">
        <f>IFERROR(__xludf.DUMMYFUNCTION("TRIM(CONCAT(""[right]"", REGEXREPLACE(C111, ""([ROYGBPXZC_]|1?[0-9])"", ""[img=119]res://textures/icons/$0.png[/img]\\n"")))"),"[right][img=119]res://textures/icons/O.png[/img]\n[img=119]res://textures/icons/O.png[/img]\n[img=119]res://textures/icons/Y.png[/img]\n[img=119]res://textures/icons/Y.png[/img]\n")</f>
        <v>[right][img=119]res://textures/icons/O.png[/img]\n[img=119]res://textures/icons/O.png[/img]\n[img=119]res://textures/icons/Y.png[/img]\n[img=119]res://textures/icons/Y.png[/img]\n</v>
      </c>
      <c r="V111" s="1" t="str">
        <f>IFERROR(__xludf.DUMMYFUNCTION("SUBSTITUTE(SUBSTITUTE(SUBSTITUTE(SUBSTITUTE(REGEXREPLACE(SUBSTITUTE(SUBSTITUTE(SUBSTITUTE(SUBSTITUTE(REGEXREPLACE(I111, ""(\[([ROYGBPTQUXZC_]|1?[0-9])\])"", ""[img=45]res://textures/icons/$2.png[/img]""),""--"",""—""),""-&gt;"",""•""),""~@"", CONCATENATE(""["&amp;"i]"",REGEXEXTRACT(B111,""^([\s\S]*),|$""),""[/i]"")),""~"", CONCATENATE(""[i]"",B111,""[/i]"")),""(\([\s\S]*?\))"",""[i][color=#34343A]$0[/color][/i]""), ""&lt;"", ""[""), ""&gt;"", ""]""), ""[/p][p]"", ""[font_size=15]\n\n[/font_size]""), ""[br/]"", ""\n"")"),"[center][i][color=#34343A](Becomes [i]'Record Sales'[/i] if you already control [i]Brian Krenitsco[/i].)[/color][/i][/center][p][b][i]As Commander[/i] —[/b] Combatants you control, with matching attack power and health, cost 1 energy of any type less.[fon"&amp;"t_size=15]\n\n[/font_size][b][i]As Asset[/i] — [/b] Whenever a card in your deck has its attack power or health changed, you may pay [img=45]res://textures/icons/O.png[/img] or [img=45]res://textures/icons/Y.png[/img]; if you do, change the other stat to "&amp;"match.[/p]")</f>
        <v xml:space="preserve">[center][i][color=#34343A](Becomes [i]'Record Sales'[/i] if you already control [i]Brian Krenitsco[/i].)[/color][/i][/center][p][b][i]As Commander[/i] —[/b] Combatants you control, with matching attack power and health, cost 1 energy of any type less.[font_size=15]\n\n[/font_size][b][i]As Asset[/i] — [/b] Whenever a card in your deck has its attack power or health changed, you may pay [img=45]res://textures/icons/O.png[/img] or [img=45]res://textures/icons/Y.png[/img]; if you do, change the other stat to match.[/p]</v>
      </c>
      <c r="W111" s="6" t="str">
        <f t="shared" si="6"/>
        <v>[i]Commander[/i]</v>
      </c>
      <c r="X111" s="1" t="str">
        <f t="shared" si="7"/>
        <v>RS_M_CMDR_OY_001</v>
      </c>
      <c r="Y111" s="1"/>
      <c r="Z111" s="7" t="s">
        <v>251</v>
      </c>
    </row>
    <row r="112">
      <c r="A112" s="7" t="s">
        <v>252</v>
      </c>
      <c r="B112" s="7" t="s">
        <v>253</v>
      </c>
      <c r="C112" s="12" t="s">
        <v>254</v>
      </c>
      <c r="D112" s="9" t="str">
        <f>IFERROR(__xludf.DUMMYFUNCTION("IF(ISBLANK(A112),"""",SWITCH(IF(T112="""",0,COUNTA(SPLIT(T112,"" ""))),0,""Generic"",1,TRIM(T112),2,""Multicolor"",3,""Multicolor"",4,""Multicolor"",5,""Multicolor"",6,""Multicolor"",7,""Multicolor"",8,""Multicolor""))"),"Multicolor")</f>
        <v>Multicolor</v>
      </c>
      <c r="E112" s="1"/>
      <c r="F112" s="1" t="s">
        <v>63</v>
      </c>
      <c r="G112" s="14" t="s">
        <v>114</v>
      </c>
      <c r="H112" s="10" t="s">
        <v>28</v>
      </c>
      <c r="I112" s="11" t="s">
        <v>255</v>
      </c>
      <c r="J112" s="11"/>
      <c r="Q112" s="7">
        <v>60</v>
      </c>
      <c r="R112" s="7">
        <v>50</v>
      </c>
      <c r="S112" s="1" t="str">
        <f t="shared" si="5"/>
        <v>False</v>
      </c>
      <c r="T112" s="6" t="str">
        <f>IFERROR(__xludf.DUMMYFUNCTION("CONCATENATE(if(REGEXMATCH(C112,""R""),"" Red"",""""),if(REGEXMATCH(C112,""O""),"" Orange"",""""),if(REGEXMATCH(C112,""Y""),"" Yellow"",""""),if(REGEXMATCH(C112,""G""),"" Green"",""""),if(REGEXMATCH(C112,""B""),"" Blue"",""""),if(REGEXMATCH(C112,""P""),"" "&amp;"Purple"",""""))")," Orange Yellow")</f>
        <v xml:space="preserve">Orange Yellow</v>
      </c>
      <c r="U112" s="6" t="str">
        <f>IFERROR(__xludf.DUMMYFUNCTION("TRIM(CONCAT(""[right]"", REGEXREPLACE(C112, ""([ROYGBPXZC_]|1?[0-9])"", ""[img=119]res://textures/icons/$0.png[/img]\\n"")))"),"[right][img=119]res://textures/icons/1.png[/img]\n[img=119]res://textures/icons/O.png[/img]\n[img=119]res://textures/icons/O.png[/img]\n[img=119]res://textures/icons/Y.png[/img]\n[img=119]res://textures/icons/Y.png[/img]\n")</f>
        <v>[right][img=119]res://textures/icons/1.png[/img]\n[img=119]res://textures/icons/O.png[/img]\n[img=119]res://textures/icons/O.png[/img]\n[img=119]res://textures/icons/Y.png[/img]\n[img=119]res://textures/icons/Y.png[/img]\n</v>
      </c>
      <c r="V112" s="1" t="str">
        <f>IFERROR(__xludf.DUMMYFUNCTION("SUBSTITUTE(SUBSTITUTE(SUBSTITUTE(SUBSTITUTE(REGEXREPLACE(SUBSTITUTE(SUBSTITUTE(SUBSTITUTE(SUBSTITUTE(REGEXREPLACE(I112, ""(\[([ROYGBPTQUXZC_]|1?[0-9])\])"", ""[img=45]res://textures/icons/$2.png[/img]""),""--"",""—""),""-&gt;"",""•""),""~@"", CONCATENATE(""["&amp;"i]"",REGEXEXTRACT(B112,""^([\s\S]*),|$""),""[/i]"")),""~"", CONCATENATE(""[i]"",B112,""[/i]"")),""(\([\s\S]*?\))"",""[i][color=#34343A]$0[/color][/i]""), ""&lt;"", ""[""), ""&gt;"", ""]""), ""[/p][p]"", ""[font_size=15]\n\n[/font_size]""), ""[br/]"", ""\n"")"),"[p]Choose a player, then choose one:[ul]Every card in that player's deck permanently has its attack power set equal to its health.\nEvery card in that player's deck permanently has its its health set equal to its attack power.[/ul][i][color=#34343A](This "&amp;"is not a continuous effect)[/color][/i][font_size=15]\n\n[/font_size][u]Personal[/u] [i][color=#34343A](Shuffle [i]'?, Label Manager'[/i] into your deck.)[/color][/i][/p]")</f>
        <v xml:space="preserve">[p]Choose a player, then choose one:[ul]Every card in that player's deck permanently has its attack power set equal to its health.\nEvery card in that player's deck permanently has its its health set equal to its attack power.[/ul][i][color=#34343A](This is not a continuous effect)[/color][/i][font_size=15]\n\n[/font_size][u]Personal[/u] [i][color=#34343A](Shuffle [i]'?, Label Manager'[/i] into your deck.)[/color][/i][/p]</v>
      </c>
      <c r="W112" s="6" t="str">
        <f t="shared" si="6"/>
        <v xml:space="preserve">[i]R. Effect[/i]</v>
      </c>
      <c r="X112" s="1" t="str">
        <f t="shared" si="7"/>
        <v>RS_M_CMDR_OY_001b</v>
      </c>
      <c r="Y112" s="1"/>
    </row>
    <row r="113">
      <c r="A113" s="7" t="s">
        <v>256</v>
      </c>
      <c r="B113" s="7" t="s">
        <v>257</v>
      </c>
      <c r="C113" s="12" t="s">
        <v>258</v>
      </c>
      <c r="D113" s="9" t="str">
        <f>IFERROR(__xludf.DUMMYFUNCTION("IF(ISBLANK(A113),"""",SWITCH(IF(T113="""",0,COUNTA(SPLIT(T113,"" ""))),0,""Generic"",1,TRIM(T113),2,""Multicolor"",3,""Multicolor"",4,""Multicolor"",5,""Multicolor"",6,""Multicolor"",7,""Multicolor"",8,""Multicolor""))"),"Multicolor")</f>
        <v>Multicolor</v>
      </c>
      <c r="E113" s="1"/>
      <c r="F113" s="1" t="s">
        <v>56</v>
      </c>
      <c r="G113" s="7" t="s">
        <v>259</v>
      </c>
      <c r="H113" s="10" t="s">
        <v>37</v>
      </c>
      <c r="I113" s="11" t="s">
        <v>260</v>
      </c>
      <c r="J113" s="11"/>
      <c r="K113" s="6" t="s">
        <v>39</v>
      </c>
      <c r="L113" s="6" t="s">
        <v>39</v>
      </c>
      <c r="Q113" s="7">
        <v>55</v>
      </c>
      <c r="R113" s="7">
        <v>50</v>
      </c>
      <c r="S113" s="1" t="str">
        <f t="shared" si="5"/>
        <v>False</v>
      </c>
      <c r="T113" s="6" t="str">
        <f>IFERROR(__xludf.DUMMYFUNCTION("CONCATENATE(if(REGEXMATCH(C113,""R""),"" Red"",""""),if(REGEXMATCH(C113,""O""),"" Orange"",""""),if(REGEXMATCH(C113,""Y""),"" Yellow"",""""),if(REGEXMATCH(C113,""G""),"" Green"",""""),if(REGEXMATCH(C113,""B""),"" Blue"",""""),if(REGEXMATCH(C113,""P""),"" "&amp;"Purple"",""""))")," Orange Yellow")</f>
        <v xml:space="preserve">Orange Yellow</v>
      </c>
      <c r="U113" s="6" t="str">
        <f>IFERROR(__xludf.DUMMYFUNCTION("TRIM(CONCAT(""[right]"", REGEXREPLACE(C113, ""([ROYGBPXZC_]|1?[0-9])"", ""[img=119]res://textures/icons/$0.png[/img]\\n"")))"),"[right][img=119]res://textures/icons/3.png[/img]\n[img=119]res://textures/icons/O.png[/img]\n[img=119]res://textures/icons/Y.png[/img]\n")</f>
        <v>[right][img=119]res://textures/icons/3.png[/img]\n[img=119]res://textures/icons/O.png[/img]\n[img=119]res://textures/icons/Y.png[/img]\n</v>
      </c>
      <c r="V113" s="1" t="str">
        <f>IFERROR(__xludf.DUMMYFUNCTION("SUBSTITUTE(SUBSTITUTE(SUBSTITUTE(SUBSTITUTE(REGEXREPLACE(SUBSTITUTE(SUBSTITUTE(SUBSTITUTE(SUBSTITUTE(REGEXREPLACE(I113, ""(\[([ROYGBPTQUXZC_]|1?[0-9])\])"", ""[img=45]res://textures/icons/$2.png[/img]""),""--"",""—""),""-&gt;"",""•""),""~@"", CONCATENATE(""["&amp;"i]"",REGEXEXTRACT(B113,""^([\s\S]*),|$""),""[/i]"")),""~"", CONCATENATE(""[i]"",B113,""[/i]"")),""(\([\s\S]*?\))"",""[i][color=#34343A]$0[/color][/i]""), ""&lt;"", ""[""), ""&gt;"", ""]""), ""[/p][p]"", ""[font_size=15]\n\n[/font_size]""), ""[br/]"", ""\n"")"),"[center][i][color=#34343A](If you obtain another card with the same name as [i]Nama, Digital Diva[/i], you must choose one to keep and another to send to its owner's discard. Banked energy can't be spent to deploy renowned cards. Becomes [i]'""...Realize "&amp;"I'm merely an imitation of humans.""'[/i] if you already control [i]Nama, Digital Diva[/i].)[/color][/i][/center][p]Whenever another combatant enters the battlefield, draw a card.[/p]")</f>
        <v xml:space="preserve">[center][i][color=#34343A](If you obtain another card with the same name as [i]Nama, Digital Diva[/i], you must choose one to keep and another to send to its owner's discard. Banked energy can't be spent to deploy renowned cards. Becomes [i]'"...Realize I'm merely an imitation of humans."'[/i] if you already control [i]Nama, Digital Diva[/i].)[/color][/i][/center][p]Whenever another combatant enters the battlefield, draw a card.[/p]</v>
      </c>
      <c r="W113" s="6" t="str">
        <f t="shared" si="6"/>
        <v xml:space="preserve">[i]R. Asset[/i]</v>
      </c>
      <c r="X113" s="1" t="str">
        <f t="shared" si="7"/>
        <v>RS_MR_OY_001</v>
      </c>
      <c r="Y113" s="1"/>
    </row>
    <row r="114">
      <c r="A114" s="7" t="s">
        <v>261</v>
      </c>
      <c r="B114" s="22" t="s">
        <v>262</v>
      </c>
      <c r="C114" s="12" t="s">
        <v>263</v>
      </c>
      <c r="D114" s="9" t="s">
        <v>107</v>
      </c>
      <c r="E114" s="1"/>
      <c r="F114" s="1" t="s">
        <v>63</v>
      </c>
      <c r="G114" s="7" t="s">
        <v>264</v>
      </c>
      <c r="H114" s="10" t="s">
        <v>28</v>
      </c>
      <c r="I114" s="11" t="s">
        <v>265</v>
      </c>
      <c r="J114" s="11"/>
      <c r="O114" s="7" t="s">
        <v>266</v>
      </c>
      <c r="Q114" s="7">
        <v>45</v>
      </c>
      <c r="R114" s="7">
        <v>50</v>
      </c>
      <c r="S114" s="1" t="str">
        <f t="shared" si="5"/>
        <v>False</v>
      </c>
      <c r="T114" s="7" t="s">
        <v>267</v>
      </c>
      <c r="U114" s="6" t="str">
        <f>IFERROR(__xludf.DUMMYFUNCTION("TRIM(CONCAT(""[right]"", REGEXREPLACE(C114, ""([ROYGBPXZC_]|1?[0-9])"", ""[img=119]res://textures/icons/$0.png[/img]\\n"")))"),"[right][img=119]res://textures/icons/_.png[/img]\n")</f>
        <v>[right][img=119]res://textures/icons/_.png[/img]\n</v>
      </c>
      <c r="V114" s="1" t="str">
        <f>IFERROR(__xludf.DUMMYFUNCTION("SUBSTITUTE(SUBSTITUTE(SUBSTITUTE(SUBSTITUTE(REGEXREPLACE(SUBSTITUTE(SUBSTITUTE(SUBSTITUTE(SUBSTITUTE(REGEXREPLACE(I114, ""(\[([ROYGBPTQUXZC_]|1?[0-9])\])"", ""[img=45]res://textures/icons/$2.png[/img]""),""--"",""—""),""-&gt;"",""•""),""~@"", CONCATENATE(""["&amp;"i]"",REGEXEXTRACT(B114,""^([\s\S]*),|$""),""[/i]"")),""~"", CONCATENATE(""[i]"",B114,""[/i]"")),""(\([\s\S]*?\))"",""[i][color=#34343A]$0[/color][/i]""), ""&lt;"", ""[""), ""&gt;"", ""]""), ""[/p][p]"", ""[font_size=15]\n\n[/font_size]""), ""[br/]"", ""\n"")"),"[center][i][color=#34343A](This effect can only be deployed if you control a renowned asset. Banked energy can't be spent to deploy renowned cards. [img=45]res://textures/icons/_.png[/img] can be paid with either [img=45]res://textures/icons/O.png[/img] o"&amp;"r [img=45]res://textures/icons/Y.png[/img].)[/color][/i][/center][p]Choose a combatant; until end of turn, it gets your choice of -2/-0, -1/-0, +0/+1, or +0/+2.[font_size=15]\n\n[/font_size][u]Personal[/u] [i][color=#34343A](Shuffle [i]'Nama, Digital Diva"&amp;"'[/i] into your deck.)[/color][/i][/p]")</f>
        <v xml:space="preserve">[center][i][color=#34343A](This effect can only be deployed if you control a renowned asset. Banked energy can't be spent to deploy renowned cards. [img=45]res://textures/icons/_.png[/img] can be paid with either [img=45]res://textures/icons/O.png[/img] or [img=45]res://textures/icons/Y.png[/img].)[/color][/i][/center][p]Choose a combatant; until end of turn, it gets your choice of -2/-0, -1/-0, +0/+1, or +0/+2.[font_size=15]\n\n[/font_size][u]Personal[/u] [i][color=#34343A](Shuffle [i]'Nama, Digital Diva'[/i] into your deck.)[/color][/i][/p]</v>
      </c>
      <c r="W114" s="6" t="str">
        <f t="shared" si="6"/>
        <v xml:space="preserve">[i]R. Effect[/i]</v>
      </c>
      <c r="X114" s="1" t="str">
        <f t="shared" si="7"/>
        <v>RS_MR_OY_001b</v>
      </c>
      <c r="Y114" s="1"/>
    </row>
    <row r="115">
      <c r="A115" s="7" t="s">
        <v>268</v>
      </c>
      <c r="B115" s="7" t="s">
        <v>269</v>
      </c>
      <c r="C115" s="12" t="s">
        <v>270</v>
      </c>
      <c r="D115" s="9" t="str">
        <f>IFERROR(__xludf.DUMMYFUNCTION("IF(ISBLANK(A115),"""",SWITCH(IF(T115="""",0,COUNTA(SPLIT(T115,"" ""))),0,""Generic"",1,TRIM(T115),2,""Multicolor"",3,""Multicolor"",4,""Multicolor"",5,""Multicolor"",6,""Multicolor"",7,""Multicolor"",8,""Multicolor""))"),"Orange")</f>
        <v>Orange</v>
      </c>
      <c r="E115" s="1"/>
      <c r="F115" s="1" t="s">
        <v>26</v>
      </c>
      <c r="G115" s="7" t="s">
        <v>271</v>
      </c>
      <c r="H115" s="10" t="s">
        <v>223</v>
      </c>
      <c r="I115" s="11" t="s">
        <v>272</v>
      </c>
      <c r="J115" s="11" t="s">
        <v>273</v>
      </c>
      <c r="K115" s="6" t="s">
        <v>39</v>
      </c>
      <c r="L115" s="6" t="s">
        <v>39</v>
      </c>
      <c r="Q115" s="7">
        <v>60</v>
      </c>
      <c r="R115" s="7">
        <v>50</v>
      </c>
      <c r="S115" s="1" t="str">
        <f t="shared" si="5"/>
        <v>False</v>
      </c>
      <c r="T115" s="6" t="str">
        <f>IFERROR(__xludf.DUMMYFUNCTION("CONCATENATE(if(REGEXMATCH(C115,""R""),"" Red"",""""),if(REGEXMATCH(C115,""O""),"" Orange"",""""),if(REGEXMATCH(C115,""Y""),"" Yellow"",""""),if(REGEXMATCH(C115,""G""),"" Green"",""""),if(REGEXMATCH(C115,""B""),"" Blue"",""""),if(REGEXMATCH(C115,""P""),"" "&amp;"Purple"",""""))")," Orange")</f>
        <v>Orange</v>
      </c>
      <c r="U115" s="6" t="str">
        <f>IFERROR(__xludf.DUMMYFUNCTION("TRIM(CONCAT(""[right]"", REGEXREPLACE(C115, ""([ROYGBPXZC_]|1?[0-9])"", ""[img=119]res://textures/icons/$0.png[/img]\\n"")))"),"[right][img=119]res://textures/icons/3.png[/img]\n[img=119]res://textures/icons/O.png[/img]\n")</f>
        <v>[right][img=119]res://textures/icons/3.png[/img]\n[img=119]res://textures/icons/O.png[/img]\n</v>
      </c>
      <c r="V115" s="1" t="str">
        <f>IFERROR(__xludf.DUMMYFUNCTION("SUBSTITUTE(SUBSTITUTE(SUBSTITUTE(SUBSTITUTE(REGEXREPLACE(SUBSTITUTE(SUBSTITUTE(SUBSTITUTE(SUBSTITUTE(REGEXREPLACE(I115, ""(\[([ROYGBPTQUXZC_]|1?[0-9])\])"", ""[img=45]res://textures/icons/$2.png[/img]""),""--"",""—""),""-&gt;"",""•""),""~@"", CONCATENATE(""["&amp;"i]"",REGEXEXTRACT(B115,""^([\s\S]*),|$""),""[/i]"")),""~"", CONCATENATE(""[i]"",B115,""[/i]"")),""(\([\s\S]*?\))"",""[i][color=#34343A]$0[/color][/i]""), ""&lt;"", ""[""), ""&gt;"", ""]""), ""[/p][p]"", ""[font_size=15]\n\n[/font_size]""), ""[br/]"", ""\n"")"),"[center][u]Exchange [img=45]res://textures/icons/2.png[/img][/u] [i][color=#34343A](Pay [img=45]res://textures/icons/2.png[/img], Discard this card from your hand: Draw a card.)[/color][/i][/center][p]When [i]Band Equipment[/i] enters the battlefield, cho"&amp;"ose upto 5 combatants to attach it to. Treat all chosen assets as a single unit with all of their effects, as well as all of their combined stats.[font_size=15]\n\n[/font_size]The combined unit has ""[i]Harmonize[/i] — As long as the combined unit's attac"&amp;"k power and health are the same, it gets +1/+1 for each asset intercepting it.""[/p]")</f>
        <v xml:space="preserve">[center][u]Exchange [img=45]res://textures/icons/2.png[/img][/u] [i][color=#34343A](Pay [img=45]res://textures/icons/2.png[/img], Discard this card from your hand: Draw a card.)[/color][/i][/center][p]When [i]Band Equipment[/i] enters the battlefield, choose upto 5 combatants to attach it to. Treat all chosen assets as a single unit with all of their effects, as well as all of their combined stats.[font_size=15]\n\n[/font_size]The combined unit has "[i]Harmonize[/i] — As long as the combined unit's attack power and health are the same, it gets +1/+1 for each asset intercepting it."[/p]</v>
      </c>
      <c r="W115" s="6" t="str">
        <f t="shared" si="6"/>
        <v>[i]Asset[/i]</v>
      </c>
      <c r="X115" s="1" t="str">
        <f t="shared" si="7"/>
        <v>RS_OR_001</v>
      </c>
      <c r="Y115" s="1"/>
    </row>
    <row r="116">
      <c r="A116" s="7" t="s">
        <v>274</v>
      </c>
      <c r="B116" s="22" t="s">
        <v>275</v>
      </c>
      <c r="C116" s="12" t="s">
        <v>276</v>
      </c>
      <c r="D116" s="9" t="str">
        <f>IFERROR(__xludf.DUMMYFUNCTION("IF(ISBLANK(A116),"""",SWITCH(IF(T116="""",0,COUNTA(SPLIT(T116,"" ""))),0,""Generic"",1,TRIM(T116),2,""Multicolor"",3,""Multicolor"",4,""Multicolor"",5,""Multicolor"",6,""Multicolor"",7,""Multicolor"",8,""Multicolor""))"),"Yellow")</f>
        <v>Yellow</v>
      </c>
      <c r="E116" s="1"/>
      <c r="F116" s="1" t="s">
        <v>63</v>
      </c>
      <c r="G116" s="7" t="s">
        <v>277</v>
      </c>
      <c r="H116" s="10" t="s">
        <v>37</v>
      </c>
      <c r="I116" s="11" t="s">
        <v>278</v>
      </c>
      <c r="J116" s="11"/>
      <c r="K116" s="6" t="s">
        <v>39</v>
      </c>
      <c r="L116" s="6" t="s">
        <v>39</v>
      </c>
      <c r="O116" s="7" t="s">
        <v>279</v>
      </c>
      <c r="Q116" s="7">
        <v>45</v>
      </c>
      <c r="R116" s="7">
        <v>50</v>
      </c>
      <c r="S116" s="1" t="str">
        <f t="shared" si="5"/>
        <v>False</v>
      </c>
      <c r="T116" s="6" t="str">
        <f>IFERROR(__xludf.DUMMYFUNCTION("CONCATENATE(if(REGEXMATCH(C116,""R""),"" Red"",""""),if(REGEXMATCH(C116,""O""),"" Orange"",""""),if(REGEXMATCH(C116,""Y""),"" Yellow"",""""),if(REGEXMATCH(C116,""G""),"" Green"",""""),if(REGEXMATCH(C116,""B""),"" Blue"",""""),if(REGEXMATCH(C116,""P""),"" "&amp;"Purple"",""""))")," Yellow")</f>
        <v>Yellow</v>
      </c>
      <c r="U116" s="6" t="str">
        <f>IFERROR(__xludf.DUMMYFUNCTION("TRIM(CONCAT(""[right]"", REGEXREPLACE(C116, ""([ROYGBPXZC_]|1?[0-9])"", ""[img=119]res://textures/icons/$0.png[/img]\\n"")))"),"[right][img=119]res://textures/icons/3.png[/img]\n[img=119]res://textures/icons/Y.png[/img]\n[img=119]res://textures/icons/Y.png[/img]\n")</f>
        <v>[right][img=119]res://textures/icons/3.png[/img]\n[img=119]res://textures/icons/Y.png[/img]\n[img=119]res://textures/icons/Y.png[/img]\n</v>
      </c>
      <c r="V116" s="1" t="str">
        <f>IFERROR(__xludf.DUMMYFUNCTION("SUBSTITUTE(SUBSTITUTE(SUBSTITUTE(SUBSTITUTE(REGEXREPLACE(SUBSTITUTE(SUBSTITUTE(SUBSTITUTE(SUBSTITUTE(REGEXREPLACE(I116, ""(\[([ROYGBPTQUXZC_]|1?[0-9])\])"", ""[img=45]res://textures/icons/$2.png[/img]""),""--"",""—""),""-&gt;"",""•""),""~@"", CONCATENATE(""["&amp;"i]"",REGEXEXTRACT(B116,""^([\s\S]*),|$""),""[/i]"")),""~"", CONCATENATE(""[i]"",B116,""[/i]"")),""(\([\s\S]*?\))"",""[i][color=#34343A]$0[/color][/i]""), ""&lt;"", ""[""), ""&gt;"", ""]""), ""[/p][p]"", ""[font_size=15]\n\n[/font_size]""), ""[br/]"", ""\n"")"),"[center][i][color=#34343A](This effect can only be deployed if you control a renowned asset. Banked energy can't be spent to deploy renowned cards.)[/color][/i][/center][p][i]'Living in the Shadows'[/i] can only be deployed during combat, before you decla"&amp;"re attackers.[font_size=15]\n\n[/font_size]Put a combatant from your hand onto the battlefield declared as an attacker. Return it to your hand at end of turn.[/p]")</f>
        <v xml:space="preserve">[center][i][color=#34343A](This effect can only be deployed if you control a renowned asset. Banked energy can't be spent to deploy renowned cards.)[/color][/i][/center][p][i]'Living in the Shadows'[/i] can only be deployed during combat, before you declare attackers.[font_size=15]\n\n[/font_size]Put a combatant from your hand onto the battlefield declared as an attacker. Return it to your hand at end of turn.[/p]</v>
      </c>
      <c r="W116" s="6" t="str">
        <f t="shared" si="6"/>
        <v xml:space="preserve">[i]R. Effect[/i]</v>
      </c>
      <c r="X116" s="1" t="str">
        <f t="shared" si="7"/>
        <v>RS_RY_002</v>
      </c>
      <c r="Y116" s="1"/>
    </row>
    <row r="117">
      <c r="A117" s="7" t="s">
        <v>280</v>
      </c>
      <c r="B117" s="7" t="s">
        <v>281</v>
      </c>
      <c r="C117" s="12" t="s">
        <v>282</v>
      </c>
      <c r="D117" s="9" t="str">
        <f>IFERROR(__xludf.DUMMYFUNCTION("IF(ISBLANK(A117),"""",SWITCH(IF(T117="""",0,COUNTA(SPLIT(T117,"" ""))),0,""Generic"",1,TRIM(T117),2,""Multicolor"",3,""Multicolor"",4,""Multicolor"",5,""Multicolor"",6,""Multicolor"",7,""Multicolor"",8,""Multicolor""))"),"Yellow")</f>
        <v>Yellow</v>
      </c>
      <c r="E117" s="1" t="s">
        <v>49</v>
      </c>
      <c r="F117" s="1" t="s">
        <v>26</v>
      </c>
      <c r="G117" s="7" t="s">
        <v>283</v>
      </c>
      <c r="H117" s="10" t="s">
        <v>37</v>
      </c>
      <c r="I117" s="11" t="s">
        <v>284</v>
      </c>
      <c r="J117" s="11"/>
      <c r="K117" s="7">
        <v>4</v>
      </c>
      <c r="L117" s="7">
        <v>6</v>
      </c>
      <c r="O117" s="23" t="s">
        <v>285</v>
      </c>
      <c r="Q117" s="7">
        <v>60</v>
      </c>
      <c r="R117" s="7">
        <v>35</v>
      </c>
      <c r="S117" s="1" t="str">
        <f t="shared" si="5"/>
        <v>True</v>
      </c>
      <c r="T117" s="6" t="str">
        <f>IFERROR(__xludf.DUMMYFUNCTION("CONCATENATE(if(REGEXMATCH(C117,""R""),"" Red"",""""),if(REGEXMATCH(C117,""O""),"" Orange"",""""),if(REGEXMATCH(C117,""Y""),"" Yellow"",""""),if(REGEXMATCH(C117,""G""),"" Green"",""""),if(REGEXMATCH(C117,""B""),"" Blue"",""""),if(REGEXMATCH(C117,""P""),"" "&amp;"Purple"",""""))")," Yellow")</f>
        <v>Yellow</v>
      </c>
      <c r="U117" s="6" t="str">
        <f>IFERROR(__xludf.DUMMYFUNCTION("TRIM(CONCAT(""[right]"", REGEXREPLACE(C117, ""([ROYGBPXZC_]|1?[0-9])"", ""[img=119]res://textures/icons/$0.png[/img]\\n"")))"),"[right][img=119]res://textures/icons/2.png[/img]\n[img=119]res://textures/icons/Y.png[/img]\n")</f>
        <v>[right][img=119]res://textures/icons/2.png[/img]\n[img=119]res://textures/icons/Y.png[/img]\n</v>
      </c>
      <c r="V117" s="1" t="str">
        <f>IFERROR(__xludf.DUMMYFUNCTION("SUBSTITUTE(SUBSTITUTE(SUBSTITUTE(SUBSTITUTE(REGEXREPLACE(SUBSTITUTE(SUBSTITUTE(SUBSTITUTE(SUBSTITUTE(REGEXREPLACE(I117, ""(\[([ROYGBPTQUXZC_]|1?[0-9])\])"", ""[img=45]res://textures/icons/$2.png[/img]""),""--"",""—""),""-&gt;"",""•""),""~@"", CONCATENATE(""["&amp;"i]"",REGEXEXTRACT(B117,""^([\s\S]*),|$""),""[/i]"")),""~"", CONCATENATE(""[i]"",B117,""[/i]"")),""(\([\s\S]*?\))"",""[i][color=#34343A]$0[/color][/i]""), ""&lt;"", ""[""), ""&gt;"", ""]""), ""[/p][p]"", ""[font_size=15]\n\n[/font_size]""), ""[br/]"", ""\n"")"),"[i]Harmonize[/i] — Whenever [i]Ecdysiast Singer[/i] deals combatant damage to a commander, if its attack power and health are the same, choose a Human combatant; permanently gain control of it.")</f>
        <v xml:space="preserve">[i]Harmonize[/i] — Whenever [i]Ecdysiast Singer[/i] deals combatant damage to a commander, if its attack power and health are the same, choose a Human combatant; permanently gain control of it.</v>
      </c>
      <c r="W117" s="6" t="str">
        <f t="shared" si="6"/>
        <v>[i]Asset[/i]</v>
      </c>
      <c r="X117" s="1" t="str">
        <f t="shared" si="7"/>
        <v>RS_RY_003</v>
      </c>
      <c r="Y117" s="1"/>
    </row>
    <row r="118">
      <c r="A118" s="7" t="s">
        <v>286</v>
      </c>
      <c r="B118" s="7" t="s">
        <v>287</v>
      </c>
      <c r="C118" s="12" t="s">
        <v>288</v>
      </c>
      <c r="D118" s="9" t="str">
        <f>IFERROR(__xludf.DUMMYFUNCTION("IF(ISBLANK(A118),"""",SWITCH(IF(T118="""",0,COUNTA(SPLIT(T118,"" ""))),0,""Generic"",1,TRIM(T118),2,""Multicolor"",3,""Multicolor"",4,""Multicolor"",5,""Multicolor"",6,""Multicolor"",7,""Multicolor"",8,""Multicolor""))"),"Orange")</f>
        <v>Orange</v>
      </c>
      <c r="E118" s="1" t="s">
        <v>43</v>
      </c>
      <c r="F118" s="1" t="s">
        <v>26</v>
      </c>
      <c r="G118" s="7" t="s">
        <v>289</v>
      </c>
      <c r="H118" s="10" t="s">
        <v>37</v>
      </c>
      <c r="I118" s="13" t="s">
        <v>290</v>
      </c>
      <c r="J118" s="11"/>
      <c r="K118" s="7">
        <v>5</v>
      </c>
      <c r="L118" s="7">
        <v>3</v>
      </c>
      <c r="O118" s="7" t="s">
        <v>291</v>
      </c>
      <c r="Q118" s="7">
        <v>40</v>
      </c>
      <c r="R118" s="7">
        <v>35</v>
      </c>
      <c r="S118" s="1" t="str">
        <f t="shared" si="5"/>
        <v>True</v>
      </c>
      <c r="T118" s="6" t="str">
        <f>IFERROR(__xludf.DUMMYFUNCTION("CONCATENATE(if(REGEXMATCH(C118,""R""),"" Red"",""""),if(REGEXMATCH(C118,""O""),"" Orange"",""""),if(REGEXMATCH(C118,""Y""),"" Yellow"",""""),if(REGEXMATCH(C118,""G""),"" Green"",""""),if(REGEXMATCH(C118,""B""),"" Blue"",""""),if(REGEXMATCH(C118,""P""),"" "&amp;"Purple"",""""))")," Orange")</f>
        <v>Orange</v>
      </c>
      <c r="U118" s="6" t="str">
        <f>IFERROR(__xludf.DUMMYFUNCTION("TRIM(CONCAT(""[right]"", REGEXREPLACE(C118, ""([ROYGBPXZC_]|1?[0-9])"", ""[img=119]res://textures/icons/$0.png[/img]\\n"")))"),"[right][img=119]res://textures/icons/1.png[/img]\n[img=119]res://textures/icons/O.png[/img]\n")</f>
        <v>[right][img=119]res://textures/icons/1.png[/img]\n[img=119]res://textures/icons/O.png[/img]\n</v>
      </c>
      <c r="V118" s="1" t="str">
        <f>IFERROR(__xludf.DUMMYFUNCTION("SUBSTITUTE(SUBSTITUTE(SUBSTITUTE(SUBSTITUTE(REGEXREPLACE(SUBSTITUTE(SUBSTITUTE(SUBSTITUTE(SUBSTITUTE(REGEXREPLACE(I118, ""(\[([ROYGBPTQUXZC_]|1?[0-9])\])"", ""[img=45]res://textures/icons/$2.png[/img]""),""--"",""—""),""-&gt;"",""•""),""~@"", CONCATENATE(""["&amp;"i]"",REGEXEXTRACT(B118,""^([\s\S]*),|$""),""[/i]"")),""~"", CONCATENATE(""[i]"",B118,""[/i]"")),""(\([\s\S]*?\))"",""[i][color=#34343A]$0[/color][/i]""), ""&lt;"", ""[""), ""&gt;"", ""]""), ""[/p][p]"", ""[font_size=15]\n\n[/font_size]""), ""[br/]"", ""\n"")"),"[i]Harmonize/Strength in Numbers[/i] — Whenever [i]Anti-Establishment Hymnist[/i] attacks, if its attack power and health are the same, choose another combatant, that combatant attacks with [i]Anti-Establishment Hymnist[/i]; until end of turn, the lower o"&amp;"f its attack power or health is increased to match the higher.")</f>
        <v xml:space="preserve">[i]Harmonize/Strength in Numbers[/i] — Whenever [i]Anti-Establishment Hymnist[/i] attacks, if its attack power and health are the same, choose another combatant, that combatant attacks with [i]Anti-Establishment Hymnist[/i]; until end of turn, the lower of its attack power or health is increased to match the higher.</v>
      </c>
      <c r="W118" s="6" t="str">
        <f t="shared" si="6"/>
        <v>[i]Asset[/i]</v>
      </c>
      <c r="X118" s="1" t="str">
        <f t="shared" si="7"/>
        <v>RS_OR_002</v>
      </c>
      <c r="Y118" s="1"/>
    </row>
    <row r="119">
      <c r="A119" s="7" t="s">
        <v>292</v>
      </c>
      <c r="B119" s="7" t="s">
        <v>293</v>
      </c>
      <c r="C119" s="12" t="s">
        <v>294</v>
      </c>
      <c r="D119" s="9" t="str">
        <f>IFERROR(__xludf.DUMMYFUNCTION("IF(ISBLANK(A119),"""",SWITCH(IF(T119="""",0,COUNTA(SPLIT(T119,"" ""))),0,""Generic"",1,TRIM(T119),2,""Multicolor"",3,""Multicolor"",4,""Multicolor"",5,""Multicolor"",6,""Multicolor"",7,""Multicolor"",8,""Multicolor""))"),"Yellow")</f>
        <v>Yellow</v>
      </c>
      <c r="E119" s="1"/>
      <c r="F119" s="1" t="s">
        <v>35</v>
      </c>
      <c r="G119" s="7" t="s">
        <v>295</v>
      </c>
      <c r="H119" s="10" t="s">
        <v>58</v>
      </c>
      <c r="I119" s="11" t="s">
        <v>296</v>
      </c>
      <c r="J119" s="11" t="s">
        <v>297</v>
      </c>
      <c r="K119" s="6" t="s">
        <v>39</v>
      </c>
      <c r="L119" s="6" t="s">
        <v>39</v>
      </c>
      <c r="Q119" s="7">
        <v>50</v>
      </c>
      <c r="R119" s="7">
        <v>50</v>
      </c>
      <c r="S119" s="1" t="str">
        <f t="shared" si="5"/>
        <v>False</v>
      </c>
      <c r="T119" s="6" t="str">
        <f>IFERROR(__xludf.DUMMYFUNCTION("CONCATENATE(if(REGEXMATCH(C119,""R""),"" Red"",""""),if(REGEXMATCH(C119,""O""),"" Orange"",""""),if(REGEXMATCH(C119,""Y""),"" Yellow"",""""),if(REGEXMATCH(C119,""G""),"" Green"",""""),if(REGEXMATCH(C119,""B""),"" Blue"",""""),if(REGEXMATCH(C119,""P""),"" "&amp;"Purple"",""""))")," Yellow")</f>
        <v>Yellow</v>
      </c>
      <c r="U119" s="6" t="str">
        <f>IFERROR(__xludf.DUMMYFUNCTION("TRIM(CONCAT(""[right]"", REGEXREPLACE(C119, ""([ROYGBPXZC_]|1?[0-9])"", ""[img=119]res://textures/icons/$0.png[/img]\\n"")))"),"[right][img=119]res://textures/icons/Y.png[/img]\n[img=119]res://textures/icons/Y.png[/img]\n")</f>
        <v>[right][img=119]res://textures/icons/Y.png[/img]\n[img=119]res://textures/icons/Y.png[/img]\n</v>
      </c>
      <c r="V119" s="1" t="str">
        <f>IFERROR(__xludf.DUMMYFUNCTION("SUBSTITUTE(SUBSTITUTE(SUBSTITUTE(SUBSTITUTE(REGEXREPLACE(SUBSTITUTE(SUBSTITUTE(SUBSTITUTE(SUBSTITUTE(REGEXREPLACE(I119, ""(\[([ROYGBPTQUXZC_]|1?[0-9])\])"", ""[img=45]res://textures/icons/$2.png[/img]""),""--"",""—""),""-&gt;"",""•""),""~@"", CONCATENATE(""["&amp;"i]"",REGEXEXTRACT(B119,""^([\s\S]*),|$""),""[/i]"")),""~"", CONCATENATE(""[i]"",B119,""[/i]"")),""(\([\s\S]*?\))"",""[i][color=#34343A]$0[/color][/i]""), ""&lt;"", ""[""), ""&gt;"", ""]""), ""[/p][p]"", ""[font_size=15]\n\n[/font_size]""), ""[br/]"", ""\n"")"),"[center][u]Decision[/u] [i][color=#34343A](You many only choose one of the bulleted options.)[/color][/i], [u]Retribution[/u][/center][ul][i]Trash the Room[/i] — [i]You Have a Backstage Meltdown...[/i] deals 4 damage to each combatant whose attack power i"&amp;"s not the same as its health.\n[i]Fire Everyone[/i] — [u]Forfeit[/u] [i][color=#34343A](Put the specified cards into their owners' discard.)[/color][/i] any number of combatants you control.[/ul]")</f>
        <v xml:space="preserve">[center][u]Decision[/u] [i][color=#34343A](You many only choose one of the bulleted options.)[/color][/i], [u]Retribution[/u][/center][ul][i]Trash the Room[/i] — [i]You Have a Backstage Meltdown...[/i] deals 4 damage to each combatant whose attack power is not the same as its health.\n[i]Fire Everyone[/i] — [u]Forfeit[/u] [i][color=#34343A](Put the specified cards into their owners' discard.)[/color][/i] any number of combatants you control.[/ul]</v>
      </c>
      <c r="W119" s="6" t="str">
        <f t="shared" si="6"/>
        <v>[i]Effect[/i]</v>
      </c>
      <c r="X119" s="1" t="str">
        <f t="shared" si="7"/>
        <v>RS_YU_002</v>
      </c>
      <c r="Y119" s="1"/>
    </row>
    <row r="120">
      <c r="A120" s="7" t="s">
        <v>298</v>
      </c>
      <c r="B120" s="7" t="s">
        <v>299</v>
      </c>
      <c r="C120" s="12" t="s">
        <v>62</v>
      </c>
      <c r="D120" s="9" t="s">
        <v>107</v>
      </c>
      <c r="E120" s="1"/>
      <c r="F120" s="1" t="s">
        <v>35</v>
      </c>
      <c r="G120" s="7" t="s">
        <v>64</v>
      </c>
      <c r="H120" s="10" t="s">
        <v>58</v>
      </c>
      <c r="I120" s="11" t="s">
        <v>300</v>
      </c>
      <c r="J120" s="11" t="str">
        <f>CONCATENATE("'Even a novice can sound beautiful with the right trainning and augmentation.' &lt;p&gt;-- ", B111, "&lt;/p&gt;")</f>
        <v xml:space="preserve">'Even a novice can sound beautiful with the right trainning and augmentation.' &lt;p&gt;-- Brian Krenitsco, Label Manager&lt;/p&gt;</v>
      </c>
      <c r="K120" s="6" t="s">
        <v>39</v>
      </c>
      <c r="L120" s="6" t="s">
        <v>39</v>
      </c>
      <c r="Q120" s="7">
        <v>60</v>
      </c>
      <c r="R120" s="7">
        <v>50</v>
      </c>
      <c r="S120" s="1" t="str">
        <f t="shared" si="5"/>
        <v>False</v>
      </c>
      <c r="T120" s="7" t="s">
        <v>267</v>
      </c>
      <c r="U120" s="6" t="str">
        <f>IFERROR(__xludf.DUMMYFUNCTION("TRIM(CONCAT(""[right]"", REGEXREPLACE(C120, ""([ROYGBPXZC_]|1?[0-9])"", ""[img=119]res://textures/icons/$0.png[/img]\\n"")))"),"[right][img=119]res://textures/icons/_.png[/img]\n[img=119]res://textures/icons/_.png[/img]\n")</f>
        <v>[right][img=119]res://textures/icons/_.png[/img]\n[img=119]res://textures/icons/_.png[/img]\n</v>
      </c>
      <c r="V120" s="1" t="str">
        <f>IFERROR(__xludf.DUMMYFUNCTION("SUBSTITUTE(SUBSTITUTE(SUBSTITUTE(SUBSTITUTE(REGEXREPLACE(SUBSTITUTE(SUBSTITUTE(SUBSTITUTE(SUBSTITUTE(REGEXREPLACE(I120, ""(\[([ROYGBPTQUXZC_]|1?[0-9])\])"", ""[img=45]res://textures/icons/$2.png[/img]""),""--"",""—""),""-&gt;"",""•""),""~@"", CONCATENATE(""["&amp;"i]"",REGEXEXTRACT(B120,""^([\s\S]*),|$""),""[/i]"")),""~"", CONCATENATE(""[i]"",B120,""[/i]"")),""(\([\s\S]*?\))"",""[i][color=#34343A]$0[/color][/i]""), ""&lt;"", ""[""), ""&gt;"", ""]""), ""[/p][p]"", ""[font_size=15]\n\n[/font_size]""), ""[br/]"", ""\n"")"),"[center][i][color=#34343A]([img=45]res://textures/icons/_.png[/img] can be paid with either [img=45]res://textures/icons/O.png[/img] or [img=45]res://textures/icons/Y.png[/img].)[/color][/i]\n[u]Append to Card [img=45]res://textures/icons/1.png[/img][img="&amp;"45]res://textures/icons/O.png[/img][img=45]res://textures/icons/Y.png[/img][/u] [i][color=#34343A](As you deploy a card you may reveal [i]Vocal Training[/i] and pay [img=45]res://textures/icons/1.png[/img][img=45]res://textures/icons/O.png[/img][img=45]re"&amp;"s://textures/icons/Y.png[/img]. If you do add this card's effects as it resolves; it loses those effects once it leaves the stack.)[/color][/i][/center][p]Choose a combatant, until end of turn, the lower of its attack power or health is increased to match"&amp;" the higher.[/p]")</f>
        <v xml:space="preserve">[center][i][color=#34343A]([img=45]res://textures/icons/_.png[/img] can be paid with either [img=45]res://textures/icons/O.png[/img] or [img=45]res://textures/icons/Y.png[/img].)[/color][/i]\n[u]Append to Card [img=45]res://textures/icons/1.png[/img][img=45]res://textures/icons/O.png[/img][img=45]res://textures/icons/Y.png[/img][/u] [i][color=#34343A](As you deploy a card you may reveal [i]Vocal Training[/i] and pay [img=45]res://textures/icons/1.png[/img][img=45]res://textures/icons/O.png[/img][img=45]res://textures/icons/Y.png[/img]. If you do add this card's effects as it resolves; it loses those effects once it leaves the stack.)[/color][/i][/center][p]Choose a combatant, until end of turn, the lower of its attack power or health is increased to match the higher.[/p]</v>
      </c>
      <c r="W120" s="6" t="str">
        <f t="shared" si="6"/>
        <v>[i]Effect[/i]</v>
      </c>
      <c r="X120" s="1" t="str">
        <f t="shared" si="7"/>
        <v>RS_MU_OY_001</v>
      </c>
      <c r="Y120" s="1"/>
    </row>
    <row r="121">
      <c r="A121" s="7" t="s">
        <v>301</v>
      </c>
      <c r="B121" s="7" t="s">
        <v>302</v>
      </c>
      <c r="C121" s="12" t="s">
        <v>288</v>
      </c>
      <c r="D121" s="9" t="str">
        <f>IFERROR(__xludf.DUMMYFUNCTION("IF(ISBLANK(A121),"""",SWITCH(IF(T121="""",0,COUNTA(SPLIT(T121,"" ""))),0,""Generic"",1,TRIM(T121),2,""Multicolor"",3,""Multicolor"",4,""Multicolor"",5,""Multicolor"",6,""Multicolor"",7,""Multicolor"",8,""Multicolor""))"),"Orange")</f>
        <v>Orange</v>
      </c>
      <c r="E121" s="1"/>
      <c r="F121" s="1" t="s">
        <v>35</v>
      </c>
      <c r="G121" s="7" t="s">
        <v>277</v>
      </c>
      <c r="H121" s="10" t="s">
        <v>58</v>
      </c>
      <c r="I121" s="11" t="s">
        <v>303</v>
      </c>
      <c r="J121" s="11"/>
      <c r="K121" s="6" t="s">
        <v>39</v>
      </c>
      <c r="L121" s="6" t="s">
        <v>39</v>
      </c>
      <c r="Q121" s="7">
        <v>60</v>
      </c>
      <c r="R121" s="7">
        <v>50</v>
      </c>
      <c r="S121" s="1" t="str">
        <f t="shared" si="5"/>
        <v>False</v>
      </c>
      <c r="T121" s="6" t="str">
        <f>IFERROR(__xludf.DUMMYFUNCTION("CONCATENATE(if(REGEXMATCH(C121,""R""),"" Red"",""""),if(REGEXMATCH(C121,""O""),"" Orange"",""""),if(REGEXMATCH(C121,""Y""),"" Yellow"",""""),if(REGEXMATCH(C121,""G""),"" Green"",""""),if(REGEXMATCH(C121,""B""),"" Blue"",""""),if(REGEXMATCH(C121,""P""),"" "&amp;"Purple"",""""))")," Orange")</f>
        <v>Orange</v>
      </c>
      <c r="U121" s="6" t="str">
        <f>IFERROR(__xludf.DUMMYFUNCTION("TRIM(CONCAT(""[right]"", REGEXREPLACE(C121, ""([ROYGBPXZC_]|1?[0-9])"", ""[img=119]res://textures/icons/$0.png[/img]\\n"")))"),"[right][img=119]res://textures/icons/1.png[/img]\n[img=119]res://textures/icons/O.png[/img]\n")</f>
        <v>[right][img=119]res://textures/icons/1.png[/img]\n[img=119]res://textures/icons/O.png[/img]\n</v>
      </c>
      <c r="V121" s="1" t="str">
        <f>IFERROR(__xludf.DUMMYFUNCTION("SUBSTITUTE(SUBSTITUTE(SUBSTITUTE(SUBSTITUTE(REGEXREPLACE(SUBSTITUTE(SUBSTITUTE(SUBSTITUTE(SUBSTITUTE(REGEXREPLACE(I121, ""(\[([ROYGBPTQUXZC_]|1?[0-9])\])"", ""[img=45]res://textures/icons/$2.png[/img]""),""--"",""—""),""-&gt;"",""•""),""~@"", CONCATENATE(""["&amp;"i]"",REGEXEXTRACT(B121,""^([\s\S]*),|$""),""[/i]"")),""~"", CONCATENATE(""[i]"",B121,""[/i]"")),""(\([\s\S]*?\))"",""[i][color=#34343A]$0[/color][/i]""), ""&lt;"", ""[""), ""&gt;"", ""]""), ""[/p][p]"", ""[font_size=15]\n\n[/font_size]""), ""[br/]"", ""\n"")"),"[center][u]Prepare 2 — [img=45]res://textures/icons/Y.png[/img][/u] [i][color=#34343A](Pay [img=45]res://textures/icons/Y.png[/img] and put [i]Inspiring Message[/i] into your deck second from the top. When you would draw [i]Inspiring Message[/i], instead "&amp;"deploy it without paying its cost.)[/color][/i][/center][p]Choose a combatant, until end of turn it gains, ""[i]Harmonize[/i] — As long as this combatant's attack power and health are the same, it gets +1/+1 for each asset intercepting it.""[/p]")</f>
        <v xml:space="preserve">[center][u]Prepare 2 — [img=45]res://textures/icons/Y.png[/img][/u] [i][color=#34343A](Pay [img=45]res://textures/icons/Y.png[/img] and put [i]Inspiring Message[/i] into your deck second from the top. When you would draw [i]Inspiring Message[/i], instead deploy it without paying its cost.)[/color][/i][/center][p]Choose a combatant, until end of turn it gains, "[i]Harmonize[/i] — As long as this combatant's attack power and health are the same, it gets +1/+1 for each asset intercepting it."[/p]</v>
      </c>
      <c r="W121" s="6" t="str">
        <f t="shared" si="6"/>
        <v>[i]Effect[/i]</v>
      </c>
      <c r="X121" s="1" t="str">
        <f t="shared" si="7"/>
        <v>RS_OU_001</v>
      </c>
      <c r="Y121" s="1"/>
    </row>
    <row r="122">
      <c r="A122" s="7" t="s">
        <v>304</v>
      </c>
      <c r="B122" s="22" t="s">
        <v>305</v>
      </c>
      <c r="C122" s="12" t="s">
        <v>306</v>
      </c>
      <c r="D122" s="9" t="str">
        <f>IFERROR(__xludf.DUMMYFUNCTION("IF(ISBLANK(A122),"""",SWITCH(IF(T122="""",0,COUNTA(SPLIT(T122,"" ""))),0,""Generic"",1,TRIM(T122),2,""Multicolor"",3,""Multicolor"",4,""Multicolor"",5,""Multicolor"",6,""Multicolor"",7,""Multicolor"",8,""Multicolor""))"),"Multicolor")</f>
        <v>Multicolor</v>
      </c>
      <c r="E122" s="1"/>
      <c r="F122" s="1" t="s">
        <v>35</v>
      </c>
      <c r="G122" s="7" t="s">
        <v>307</v>
      </c>
      <c r="H122" s="10" t="s">
        <v>70</v>
      </c>
      <c r="I122" s="11" t="s">
        <v>308</v>
      </c>
      <c r="J122" s="11"/>
      <c r="K122" s="6" t="s">
        <v>39</v>
      </c>
      <c r="L122" s="6" t="s">
        <v>39</v>
      </c>
      <c r="O122" s="7" t="s">
        <v>309</v>
      </c>
      <c r="Q122" s="7">
        <v>45</v>
      </c>
      <c r="R122" s="7">
        <v>50</v>
      </c>
      <c r="S122" s="1" t="str">
        <f t="shared" si="5"/>
        <v>False</v>
      </c>
      <c r="T122" s="6" t="str">
        <f>IFERROR(__xludf.DUMMYFUNCTION("CONCATENATE(if(REGEXMATCH(C122,""R""),"" Red"",""""),if(REGEXMATCH(C122,""O""),"" Orange"",""""),if(REGEXMATCH(C122,""Y""),"" Yellow"",""""),if(REGEXMATCH(C122,""G""),"" Green"",""""),if(REGEXMATCH(C122,""B""),"" Blue"",""""),if(REGEXMATCH(C122,""P""),"" "&amp;"Purple"",""""))")," Orange Yellow")</f>
        <v xml:space="preserve">Orange Yellow</v>
      </c>
      <c r="U122" s="6" t="str">
        <f>IFERROR(__xludf.DUMMYFUNCTION("TRIM(CONCAT(""[right]"", REGEXREPLACE(C122, ""([ROYGBPXZC_]|1?[0-9])"", ""[img=119]res://textures/icons/$0.png[/img]\\n"")))"),"[right][img=119]res://textures/icons/1.png[/img]\n[img=119]res://textures/icons/O.png[/img]\n[img=119]res://textures/icons/Y.png[/img]\n")</f>
        <v>[right][img=119]res://textures/icons/1.png[/img]\n[img=119]res://textures/icons/O.png[/img]\n[img=119]res://textures/icons/Y.png[/img]\n</v>
      </c>
      <c r="V122" s="1" t="str">
        <f>IFERROR(__xludf.DUMMYFUNCTION("SUBSTITUTE(SUBSTITUTE(SUBSTITUTE(SUBSTITUTE(REGEXREPLACE(SUBSTITUTE(SUBSTITUTE(SUBSTITUTE(SUBSTITUTE(REGEXREPLACE(I122, ""(\[([ROYGBPTQUXZC_]|1?[0-9])\])"", ""[img=45]res://textures/icons/$2.png[/img]""),""--"",""—""),""-&gt;"",""•""),""~@"", CONCATENATE(""["&amp;"i]"",REGEXEXTRACT(B122,""^([\s\S]*),|$""),""[/i]"")),""~"", CONCATENATE(""[i]"",B122,""[/i]"")),""(\([\s\S]*?\))"",""[i][color=#34343A]$0[/color][/i]""), ""&lt;"", ""[""), ""&gt;"", ""]""), ""[/p][p]"", ""[font_size=15]\n\n[/font_size]""), ""[br/]"", ""\n"")"),"[p]As an additional cost to deploy [i]'Gonna Jump Now and Be Free'[/i], [u]forfeit[/u] [i][color=#34343A](Put the specified card into its owner's discard.)[/color][/i] a combatant you control.[font_size=15]\n\n[/font_size]The top card of your deck costs t"&amp;"he forfeited cards cost less [i][color=#34343A](ex. If you forfeit [i]'Gonna Jump Now and Be Free'[/i],  the card will cost [img=45]res://textures/icons/1.png[/img][img=45]res://textures/icons/O.png[/img][img=45]res://textures/icons/Y.png[/img] less, matc"&amp;"hing energy types exactly.)[/color][/i][/p]")</f>
        <v xml:space="preserve">[p]As an additional cost to deploy [i]'Gonna Jump Now and Be Free'[/i], [u]forfeit[/u] [i][color=#34343A](Put the specified card into its owner's discard.)[/color][/i] a combatant you control.[font_size=15]\n\n[/font_size]The top card of your deck costs the forfeited cards cost less [i][color=#34343A](ex. If you forfeit [i]'Gonna Jump Now and Be Free'[/i],  the card will cost [img=45]res://textures/icons/1.png[/img][img=45]res://textures/icons/O.png[/img][img=45]res://textures/icons/Y.png[/img] less, matching energy types exactly.)[/color][/i][/p]</v>
      </c>
      <c r="W122" s="6" t="str">
        <f t="shared" si="6"/>
        <v>[i]Effect[/i]</v>
      </c>
      <c r="X122" s="1" t="str">
        <f t="shared" si="7"/>
        <v>RS_MU_OY_002</v>
      </c>
      <c r="Y122" s="1"/>
    </row>
    <row r="123">
      <c r="A123" s="7" t="s">
        <v>310</v>
      </c>
      <c r="B123" s="7" t="s">
        <v>311</v>
      </c>
      <c r="C123" s="12" t="s">
        <v>62</v>
      </c>
      <c r="D123" s="9" t="s">
        <v>107</v>
      </c>
      <c r="E123" s="1"/>
      <c r="F123" s="1" t="s">
        <v>26</v>
      </c>
      <c r="G123" s="7" t="s">
        <v>312</v>
      </c>
      <c r="H123" s="10" t="s">
        <v>58</v>
      </c>
      <c r="I123" s="11" t="s">
        <v>313</v>
      </c>
      <c r="J123" s="11"/>
      <c r="K123" s="6" t="s">
        <v>39</v>
      </c>
      <c r="L123" s="6" t="s">
        <v>39</v>
      </c>
      <c r="Q123" s="7">
        <v>60</v>
      </c>
      <c r="R123" s="7">
        <v>50</v>
      </c>
      <c r="S123" s="1" t="str">
        <f t="shared" si="5"/>
        <v>False</v>
      </c>
      <c r="T123" s="7" t="s">
        <v>267</v>
      </c>
      <c r="U123" s="6" t="str">
        <f>IFERROR(__xludf.DUMMYFUNCTION("TRIM(CONCAT(""[right]"", REGEXREPLACE(C123, ""([ROYGBPXZC_]|1?[0-9])"", ""[img=119]res://textures/icons/$0.png[/img]\\n"")))"),"[right][img=119]res://textures/icons/_.png[/img]\n[img=119]res://textures/icons/_.png[/img]\n")</f>
        <v>[right][img=119]res://textures/icons/_.png[/img]\n[img=119]res://textures/icons/_.png[/img]\n</v>
      </c>
      <c r="V123" s="1" t="str">
        <f>IFERROR(__xludf.DUMMYFUNCTION("SUBSTITUTE(SUBSTITUTE(SUBSTITUTE(SUBSTITUTE(REGEXREPLACE(SUBSTITUTE(SUBSTITUTE(SUBSTITUTE(SUBSTITUTE(REGEXREPLACE(I123, ""(\[([ROYGBPTQUXZC_]|1?[0-9])\])"", ""[img=45]res://textures/icons/$2.png[/img]""),""--"",""—""),""-&gt;"",""•""),""~@"", CONCATENATE(""["&amp;"i]"",REGEXEXTRACT(B123,""^([\s\S]*),|$""),""[/i]"")),""~"", CONCATENATE(""[i]"",B123,""[/i]"")),""(\([\s\S]*?\))"",""[i][color=#34343A]$0[/color][/i]""), ""&lt;"", ""[""), ""&gt;"", ""]""), ""[/p][p]"", ""[font_size=15]\n\n[/font_size]""), ""[br/]"", ""\n"")"),"[center][i][color=#34343A]([img=45]res://textures/icons/_.png[/img] can be paid with either [img=45]res://textures/icons/O.png[/img] or [img=45]res://textures/icons/Y.png[/img].)[/color][/i]\n[u]Tradeable[/u][/center][p]When [i]Musician's Laptop[/i] enter"&amp;"s the battlefield, choose a combatant to attach it to.[font_size=15]\n\n[/font_size][i]Harmonize[/i] — Whenever the attached asset attacks or intercepts, if its attack power and health are the same, draw a card.[/p]")</f>
        <v xml:space="preserve">[center][i][color=#34343A]([img=45]res://textures/icons/_.png[/img] can be paid with either [img=45]res://textures/icons/O.png[/img] or [img=45]res://textures/icons/Y.png[/img].)[/color][/i]\n[u]Tradeable[/u][/center][p]When [i]Musician's Laptop[/i] enters the battlefield, choose a combatant to attach it to.[font_size=15]\n\n[/font_size][i]Harmonize[/i] — Whenever the attached asset attacks or intercepts, if its attack power and health are the same, draw a card.[/p]</v>
      </c>
      <c r="W123" s="6" t="str">
        <f t="shared" si="6"/>
        <v>[i]Asset[/i]</v>
      </c>
      <c r="X123" s="1" t="str">
        <f t="shared" si="7"/>
        <v>RS_MU_OY_003</v>
      </c>
      <c r="Y123" s="1"/>
    </row>
    <row r="124">
      <c r="A124" s="7" t="s">
        <v>314</v>
      </c>
      <c r="B124" s="7" t="s">
        <v>315</v>
      </c>
      <c r="C124" s="12" t="s">
        <v>316</v>
      </c>
      <c r="D124" s="9" t="s">
        <v>107</v>
      </c>
      <c r="E124" s="1"/>
      <c r="F124" s="1" t="s">
        <v>35</v>
      </c>
      <c r="G124" s="7" t="s">
        <v>317</v>
      </c>
      <c r="H124" s="10" t="s">
        <v>70</v>
      </c>
      <c r="I124" s="11" t="s">
        <v>318</v>
      </c>
      <c r="J124" s="11"/>
      <c r="K124" s="6" t="s">
        <v>39</v>
      </c>
      <c r="L124" s="6" t="s">
        <v>39</v>
      </c>
      <c r="Q124" s="7">
        <v>60</v>
      </c>
      <c r="R124" s="7">
        <v>50</v>
      </c>
      <c r="S124" s="1" t="str">
        <f t="shared" si="5"/>
        <v>False</v>
      </c>
      <c r="T124" s="7" t="s">
        <v>267</v>
      </c>
      <c r="U124" s="6" t="str">
        <f>IFERROR(__xludf.DUMMYFUNCTION("TRIM(CONCAT(""[right]"", REGEXREPLACE(C124, ""([ROYGBPXZC_]|1?[0-9])"", ""[img=119]res://textures/icons/$0.png[/img]\\n"")))"),"[right][img=119]res://textures/icons/1.png[/img]\n[img=119]res://textures/icons/_.png[/img]\n[img=119]res://textures/icons/_.png[/img]\n")</f>
        <v>[right][img=119]res://textures/icons/1.png[/img]\n[img=119]res://textures/icons/_.png[/img]\n[img=119]res://textures/icons/_.png[/img]\n</v>
      </c>
      <c r="V124" s="1" t="str">
        <f>IFERROR(__xludf.DUMMYFUNCTION("SUBSTITUTE(SUBSTITUTE(SUBSTITUTE(SUBSTITUTE(REGEXREPLACE(SUBSTITUTE(SUBSTITUTE(SUBSTITUTE(SUBSTITUTE(REGEXREPLACE(I124, ""(\[([ROYGBPTQUXZC_]|1?[0-9])\])"", ""[img=45]res://textures/icons/$2.png[/img]""),""--"",""—""),""-&gt;"",""•""),""~@"", CONCATENATE(""["&amp;"i]"",REGEXEXTRACT(B124,""^([\s\S]*),|$""),""[/i]"")),""~"", CONCATENATE(""[i]"",B124,""[/i]"")),""(\([\s\S]*?\))"",""[i][color=#34343A]$0[/color][/i]""), ""&lt;"", ""[""), ""&gt;"", ""]""), ""[/p][p]"", ""[font_size=15]\n\n[/font_size]""), ""[br/]"", ""\n"")"),"[i][color=#34343A]([img=45]res://textures/icons/_.png[/img] can be paid with either [img=45]res://textures/icons/O.png[/img] or [img=45]res://textures/icons/Y.png[/img].)[/color][/i][p]Choose 2 combatants in your hand; reveal them, then as long you contro"&amp;"l the other, each one has [u]rush[/u] [i][color=#34343A](It can attack and intercept as soon as it enters the battlefield, but it can't be explicitly exhausted.)[/color][/i] and doubled attack power [i][color=#34343A](the doubled attack power doesn't stac"&amp;"k.)[/color][/i][/p]")</f>
        <v xml:space="preserve">[i][color=#34343A]([img=45]res://textures/icons/_.png[/img] can be paid with either [img=45]res://textures/icons/O.png[/img] or [img=45]res://textures/icons/Y.png[/img].)[/color][/i][p]Choose 2 combatants in your hand; reveal them, then as long you control the other, each one has [u]rush[/u] [i][color=#34343A](It can attack and intercept as soon as it enters the battlefield, but it can't be explicitly exhausted.)[/color][/i] and doubled attack power [i][color=#34343A](the doubled attack power doesn't stack.)[/color][/i][/p]</v>
      </c>
      <c r="W124" s="6" t="str">
        <f t="shared" si="6"/>
        <v>[i]Effect[/i]</v>
      </c>
      <c r="X124" s="1" t="str">
        <f t="shared" si="7"/>
        <v>RS_MU_OY_004</v>
      </c>
      <c r="Y124" s="1"/>
    </row>
    <row r="125">
      <c r="A125" s="7" t="s">
        <v>319</v>
      </c>
      <c r="B125" s="7" t="s">
        <v>320</v>
      </c>
      <c r="C125" s="12" t="s">
        <v>263</v>
      </c>
      <c r="D125" s="9" t="s">
        <v>107</v>
      </c>
      <c r="E125" s="1" t="s">
        <v>49</v>
      </c>
      <c r="F125" s="1" t="s">
        <v>26</v>
      </c>
      <c r="G125" s="7" t="s">
        <v>321</v>
      </c>
      <c r="H125" s="10" t="s">
        <v>153</v>
      </c>
      <c r="I125" s="11" t="s">
        <v>322</v>
      </c>
      <c r="J125" s="11" t="s">
        <v>323</v>
      </c>
      <c r="K125" s="7">
        <v>0</v>
      </c>
      <c r="L125" s="6">
        <v>2</v>
      </c>
      <c r="Q125" s="7">
        <v>45</v>
      </c>
      <c r="R125" s="7">
        <v>35</v>
      </c>
      <c r="S125" s="1" t="str">
        <f t="shared" si="5"/>
        <v>True</v>
      </c>
      <c r="T125" s="7" t="s">
        <v>267</v>
      </c>
      <c r="U125" s="6" t="str">
        <f>IFERROR(__xludf.DUMMYFUNCTION("TRIM(CONCAT(""[right]"", REGEXREPLACE(C125, ""([ROYGBPXZC_]|1?[0-9])"", ""[img=119]res://textures/icons/$0.png[/img]\\n"")))"),"[right][img=119]res://textures/icons/_.png[/img]\n")</f>
        <v>[right][img=119]res://textures/icons/_.png[/img]\n</v>
      </c>
      <c r="V125" s="1" t="str">
        <f>IFERROR(__xludf.DUMMYFUNCTION("SUBSTITUTE(SUBSTITUTE(SUBSTITUTE(SUBSTITUTE(REGEXREPLACE(SUBSTITUTE(SUBSTITUTE(SUBSTITUTE(SUBSTITUTE(REGEXREPLACE(I125, ""(\[([ROYGBPTQUXZC_]|1?[0-9])\])"", ""[img=45]res://textures/icons/$2.png[/img]""),""--"",""—""),""-&gt;"",""•""),""~@"", CONCATENATE(""["&amp;"i]"",REGEXEXTRACT(B125,""^([\s\S]*),|$""),""[/i]"")),""~"", CONCATENATE(""[i]"",B125,""[/i]"")),""(\([\s\S]*?\))"",""[i][color=#34343A]$0[/color][/i]""), ""&lt;"", ""[""), ""&gt;"", ""]""), ""[/p][p]"", ""[font_size=15]\n\n[/font_size]""), ""[br/]"", ""\n"")"),"[i][color=#34343A]([img=45]res://textures/icons/_.png[/img] can be paid with either [img=45]res://textures/icons/O.png[/img] or [img=45]res://textures/icons/Y.png[/img].)[/color][/i][p][i]Harmonize[/i] — As long as [i]The Girl Behind the Screen[/i]'s atta"&amp;"ck power and touphness are the same, it gets +2/+2.[/p]")</f>
        <v xml:space="preserve">[i][color=#34343A]([img=45]res://textures/icons/_.png[/img] can be paid with either [img=45]res://textures/icons/O.png[/img] or [img=45]res://textures/icons/Y.png[/img].)[/color][/i][p][i]Harmonize[/i] — As long as [i]The Girl Behind the Screen[/i]'s attack power and touphness are the same, it gets +2/+2.[/p]</v>
      </c>
      <c r="W125" s="6" t="str">
        <f t="shared" si="6"/>
        <v>[i]Asset[/i]</v>
      </c>
      <c r="X125" s="1" t="str">
        <f t="shared" si="7"/>
        <v>RS_MC_OY_001</v>
      </c>
      <c r="Y125" s="1"/>
    </row>
    <row r="126">
      <c r="A126" s="7" t="s">
        <v>324</v>
      </c>
      <c r="B126" s="7" t="s">
        <v>325</v>
      </c>
      <c r="C126" s="12" t="s">
        <v>62</v>
      </c>
      <c r="D126" s="9" t="s">
        <v>107</v>
      </c>
      <c r="E126" s="1"/>
      <c r="F126" s="1" t="s">
        <v>26</v>
      </c>
      <c r="G126" s="7" t="s">
        <v>326</v>
      </c>
      <c r="H126" s="10" t="s">
        <v>149</v>
      </c>
      <c r="I126" s="11" t="s">
        <v>327</v>
      </c>
      <c r="J126" s="11"/>
      <c r="K126" s="6" t="s">
        <v>39</v>
      </c>
      <c r="L126" s="6" t="s">
        <v>39</v>
      </c>
      <c r="Q126" s="7">
        <v>45</v>
      </c>
      <c r="R126" s="7">
        <v>50</v>
      </c>
      <c r="S126" s="1" t="str">
        <f t="shared" si="5"/>
        <v>False</v>
      </c>
      <c r="T126" s="7" t="s">
        <v>267</v>
      </c>
      <c r="U126" s="6" t="str">
        <f>IFERROR(__xludf.DUMMYFUNCTION("TRIM(CONCAT(""[right]"", REGEXREPLACE(C126, ""([ROYGBPXZC_]|1?[0-9])"", ""[img=119]res://textures/icons/$0.png[/img]\\n"")))"),"[right][img=119]res://textures/icons/_.png[/img]\n[img=119]res://textures/icons/_.png[/img]\n")</f>
        <v>[right][img=119]res://textures/icons/_.png[/img]\n[img=119]res://textures/icons/_.png[/img]\n</v>
      </c>
      <c r="V126" s="1" t="str">
        <f>IFERROR(__xludf.DUMMYFUNCTION("SUBSTITUTE(SUBSTITUTE(SUBSTITUTE(SUBSTITUTE(REGEXREPLACE(SUBSTITUTE(SUBSTITUTE(SUBSTITUTE(SUBSTITUTE(REGEXREPLACE(I126, ""(\[([ROYGBPTQUXZC_]|1?[0-9])\])"", ""[img=45]res://textures/icons/$2.png[/img]""),""--"",""—""),""-&gt;"",""•""),""~@"", CONCATENATE(""["&amp;"i]"",REGEXEXTRACT(B126,""^([\s\S]*),|$""),""[/i]"")),""~"", CONCATENATE(""[i]"",B126,""[/i]"")),""(\([\s\S]*?\))"",""[i][color=#34343A]$0[/color][/i]""), ""&lt;"", ""[""), ""&gt;"", ""]""), ""[/p][p]"", ""[font_size=15]\n\n[/font_size]""), ""[br/]"", ""\n"")"),"[i][color=#34343A]([img=45]res://textures/icons/_.png[/img] can be paid with either [img=45]res://textures/icons/O.png[/img] or [img=45]res://textures/icons/Y.png[/img].)[/color][/i][p][u]Forfeit[/u] [i][color=#34343A](Put the specified card into its owne"&amp;"r's discard.)[/color][/i] [i]Cocaine Induced Inspiration[/i]: The top [u]X[/u] [i][color=#34343A](X is 1 plus the number of times [i]Cocaine Induced Inspiration[/i] has been deployed this game.)[/color][/i] combatants in your deck permanently gain +1/+0.["&amp;"font_size=15]\n\n[/font_size]You may pay an additional [img=45]res://textures/icons/O.png[/img][img=45]res://textures/icons/Y.png[/img] as you forfeit [i]Cocaine Induced Inspiration[/i]; if you do triple X.[/p]")</f>
        <v xml:space="preserve">[i][color=#34343A]([img=45]res://textures/icons/_.png[/img] can be paid with either [img=45]res://textures/icons/O.png[/img] or [img=45]res://textures/icons/Y.png[/img].)[/color][/i][p][u]Forfeit[/u] [i][color=#34343A](Put the specified card into its owner's discard.)[/color][/i] [i]Cocaine Induced Inspiration[/i]: The top [u]X[/u] [i][color=#34343A](X is 1 plus the number of times [i]Cocaine Induced Inspiration[/i] has been deployed this game.)[/color][/i] combatants in your deck permanently gain +1/+0.[font_size=15]\n\n[/font_size]You may pay an additional [img=45]res://textures/icons/O.png[/img][img=45]res://textures/icons/Y.png[/img] as you forfeit [i]Cocaine Induced Inspiration[/i]; if you do triple X.[/p]</v>
      </c>
      <c r="W126" s="6" t="str">
        <f t="shared" si="6"/>
        <v>[i]Asset[/i]</v>
      </c>
      <c r="X126" s="1" t="str">
        <f t="shared" si="7"/>
        <v>RS_MC_OY_002</v>
      </c>
      <c r="Y126" s="1"/>
    </row>
    <row r="127">
      <c r="A127" s="7" t="s">
        <v>328</v>
      </c>
      <c r="B127" s="7" t="s">
        <v>329</v>
      </c>
      <c r="C127" s="12" t="s">
        <v>306</v>
      </c>
      <c r="D127" s="9" t="str">
        <f>IFERROR(__xludf.DUMMYFUNCTION("IF(ISBLANK(A127),"""",SWITCH(IF(T127="""",0,COUNTA(SPLIT(T127,"" ""))),0,""Generic"",1,TRIM(T127),2,""Multicolor"",3,""Multicolor"",4,""Multicolor"",5,""Multicolor"",6,""Multicolor"",7,""Multicolor"",8,""Multicolor""))"),"Multicolor")</f>
        <v>Multicolor</v>
      </c>
      <c r="E127" s="1"/>
      <c r="F127" s="1" t="s">
        <v>26</v>
      </c>
      <c r="G127" s="7" t="s">
        <v>98</v>
      </c>
      <c r="H127" s="10" t="s">
        <v>330</v>
      </c>
      <c r="I127" s="11" t="s">
        <v>331</v>
      </c>
      <c r="J127" s="11" t="s">
        <v>332</v>
      </c>
      <c r="K127" s="6" t="s">
        <v>39</v>
      </c>
      <c r="L127" s="6" t="s">
        <v>39</v>
      </c>
      <c r="Q127" s="7">
        <v>45</v>
      </c>
      <c r="R127" s="7">
        <v>35</v>
      </c>
      <c r="S127" s="1" t="str">
        <f t="shared" si="5"/>
        <v>False</v>
      </c>
      <c r="T127" s="6" t="str">
        <f>IFERROR(__xludf.DUMMYFUNCTION("CONCATENATE(if(REGEXMATCH(C127,""R""),"" Red"",""""),if(REGEXMATCH(C127,""O""),"" Orange"",""""),if(REGEXMATCH(C127,""Y""),"" Yellow"",""""),if(REGEXMATCH(C127,""G""),"" Green"",""""),if(REGEXMATCH(C127,""B""),"" Blue"",""""),if(REGEXMATCH(C127,""P""),"" "&amp;"Purple"",""""))")," Orange Yellow")</f>
        <v xml:space="preserve">Orange Yellow</v>
      </c>
      <c r="U127" s="6" t="str">
        <f>IFERROR(__xludf.DUMMYFUNCTION("TRIM(CONCAT(""[right]"", REGEXREPLACE(C127, ""([ROYGBPXZC_]|1?[0-9])"", ""[img=119]res://textures/icons/$0.png[/img]\\n"")))"),"[right][img=119]res://textures/icons/1.png[/img]\n[img=119]res://textures/icons/O.png[/img]\n[img=119]res://textures/icons/Y.png[/img]\n")</f>
        <v>[right][img=119]res://textures/icons/1.png[/img]\n[img=119]res://textures/icons/O.png[/img]\n[img=119]res://textures/icons/Y.png[/img]\n</v>
      </c>
      <c r="V127" s="1" t="str">
        <f>IFERROR(__xludf.DUMMYFUNCTION("SUBSTITUTE(SUBSTITUTE(SUBSTITUTE(SUBSTITUTE(REGEXREPLACE(SUBSTITUTE(SUBSTITUTE(SUBSTITUTE(SUBSTITUTE(REGEXREPLACE(I127, ""(\[([ROYGBPTQUXZC_]|1?[0-9])\])"", ""[img=45]res://textures/icons/$2.png[/img]""),""--"",""—""),""-&gt;"",""•""),""~@"", CONCATENATE(""["&amp;"i]"",REGEXEXTRACT(B127,""^([\s\S]*),|$""),""[/i]"")),""~"", CONCATENATE(""[i]"",B127,""[/i]"")),""(\([\s\S]*?\))"",""[i][color=#34343A]$0[/color][/i]""), ""&lt;"", ""[""), ""&gt;"", ""]""), ""[/p][p]"", ""[font_size=15]\n\n[/font_size]""), ""[br/]"", ""\n"")"),"[center][i][color=#34343A](If a Human asset has an Augmentation attached, it becomes Augmented.)[/color][/i][/center][p]When [i]Pitch Correction Implant[/i] enters the battlefield, choose a combatant to attach it to.[font_size=15]\n\n[/font_size]Attached "&amp;"combatant has the lower of its attack power or health increased to match the higher.[/p]")</f>
        <v xml:space="preserve">[center][i][color=#34343A](If a Human asset has an Augmentation attached, it becomes Augmented.)[/color][/i][/center][p]When [i]Pitch Correction Implant[/i] enters the battlefield, choose a combatant to attach it to.[font_size=15]\n\n[/font_size]Attached combatant has the lower of its attack power or health increased to match the higher.[/p]</v>
      </c>
      <c r="W127" s="6" t="str">
        <f t="shared" si="6"/>
        <v>[i]Asset[/i]</v>
      </c>
      <c r="X127" s="1" t="str">
        <f t="shared" si="7"/>
        <v>RS_MC_OY_003</v>
      </c>
      <c r="Y127" s="1"/>
    </row>
    <row r="128">
      <c r="A128" s="7" t="s">
        <v>333</v>
      </c>
      <c r="B128" s="7" t="s">
        <v>334</v>
      </c>
      <c r="C128" s="12" t="s">
        <v>282</v>
      </c>
      <c r="D128" s="9" t="str">
        <f>IFERROR(__xludf.DUMMYFUNCTION("IF(ISBLANK(A128),"""",SWITCH(IF(T128="""",0,COUNTA(SPLIT(T128,"" ""))),0,""Generic"",1,TRIM(T128),2,""Multicolor"",3,""Multicolor"",4,""Multicolor"",5,""Multicolor"",6,""Multicolor"",7,""Multicolor"",8,""Multicolor""))"),"Yellow")</f>
        <v>Yellow</v>
      </c>
      <c r="E128" s="1" t="s">
        <v>49</v>
      </c>
      <c r="F128" s="1" t="s">
        <v>26</v>
      </c>
      <c r="G128" s="7" t="s">
        <v>335</v>
      </c>
      <c r="H128" s="10" t="s">
        <v>153</v>
      </c>
      <c r="I128" s="11" t="s">
        <v>336</v>
      </c>
      <c r="J128" s="11" t="s">
        <v>337</v>
      </c>
      <c r="K128" s="7">
        <v>4</v>
      </c>
      <c r="L128" s="7">
        <v>5</v>
      </c>
      <c r="Q128" s="7">
        <v>60</v>
      </c>
      <c r="R128" s="7">
        <v>35</v>
      </c>
      <c r="S128" s="1" t="str">
        <f t="shared" si="5"/>
        <v>True</v>
      </c>
      <c r="T128" s="6" t="str">
        <f>IFERROR(__xludf.DUMMYFUNCTION("CONCATENATE(if(REGEXMATCH(C128,""R""),"" Red"",""""),if(REGEXMATCH(C128,""O""),"" Orange"",""""),if(REGEXMATCH(C128,""Y""),"" Yellow"",""""),if(REGEXMATCH(C128,""G""),"" Green"",""""),if(REGEXMATCH(C128,""B""),"" Blue"",""""),if(REGEXMATCH(C128,""P""),"" "&amp;"Purple"",""""))")," Yellow")</f>
        <v>Yellow</v>
      </c>
      <c r="U128" s="6" t="str">
        <f>IFERROR(__xludf.DUMMYFUNCTION("TRIM(CONCAT(""[right]"", REGEXREPLACE(C128, ""([ROYGBPXZC_]|1?[0-9])"", ""[img=119]res://textures/icons/$0.png[/img]\\n"")))"),"[right][img=119]res://textures/icons/2.png[/img]\n[img=119]res://textures/icons/Y.png[/img]\n")</f>
        <v>[right][img=119]res://textures/icons/2.png[/img]\n[img=119]res://textures/icons/Y.png[/img]\n</v>
      </c>
      <c r="V128" s="1" t="str">
        <f>IFERROR(__xludf.DUMMYFUNCTION("SUBSTITUTE(SUBSTITUTE(SUBSTITUTE(SUBSTITUTE(REGEXREPLACE(SUBSTITUTE(SUBSTITUTE(SUBSTITUTE(SUBSTITUTE(REGEXREPLACE(I128, ""(\[([ROYGBPTQUXZC_]|1?[0-9])\])"", ""[img=45]res://textures/icons/$2.png[/img]""),""--"",""—""),""-&gt;"",""•""),""~@"", CONCATENATE(""["&amp;"i]"",REGEXEXTRACT(B128,""^([\s\S]*),|$""),""[/i]"")),""~"", CONCATENATE(""[i]"",B128,""[/i]"")),""(\([\s\S]*?\))"",""[i][color=#34343A]$0[/color][/i]""), ""&lt;"", ""[""), ""&gt;"", ""]""), ""[/p][p]"", ""[font_size=15]\n\n[/font_size]""), ""[br/]"", ""\n"")"),"[i]Harmonize[/i] — Whenever [i]Street Performer[/i] deals combat damage to a commander, if its attack power and health are the same, you may choose a card in your hand; it permanently gains +0/+2.")</f>
        <v xml:space="preserve">[i]Harmonize[/i] — Whenever [i]Street Performer[/i] deals combat damage to a commander, if its attack power and health are the same, you may choose a card in your hand; it permanently gains +0/+2.</v>
      </c>
      <c r="W128" s="6" t="str">
        <f t="shared" si="6"/>
        <v>[i]Asset[/i]</v>
      </c>
      <c r="X128" s="1" t="str">
        <f t="shared" si="7"/>
        <v>RS_YC_001</v>
      </c>
      <c r="Y128" s="1"/>
    </row>
    <row r="129">
      <c r="A129" s="7" t="s">
        <v>338</v>
      </c>
      <c r="B129" s="22" t="s">
        <v>339</v>
      </c>
      <c r="C129" s="12" t="s">
        <v>177</v>
      </c>
      <c r="D129" s="9" t="str">
        <f>IFERROR(__xludf.DUMMYFUNCTION("IF(ISBLANK(A129),"""",SWITCH(IF(T129="""",0,COUNTA(SPLIT(T129,"" ""))),0,""Generic"",1,TRIM(T129),2,""Multicolor"",3,""Multicolor"",4,""Multicolor"",5,""Multicolor"",6,""Multicolor"",7,""Multicolor"",8,""Multicolor""))"),"Yellow")</f>
        <v>Yellow</v>
      </c>
      <c r="E129" s="1"/>
      <c r="F129" s="1" t="s">
        <v>35</v>
      </c>
      <c r="G129" s="7" t="s">
        <v>277</v>
      </c>
      <c r="H129" s="10" t="s">
        <v>153</v>
      </c>
      <c r="I129" s="11" t="s">
        <v>340</v>
      </c>
      <c r="J129" s="11"/>
      <c r="K129" s="6" t="s">
        <v>39</v>
      </c>
      <c r="L129" s="6" t="s">
        <v>39</v>
      </c>
      <c r="Q129" s="7">
        <v>45</v>
      </c>
      <c r="R129" s="7">
        <v>50</v>
      </c>
      <c r="S129" s="1" t="str">
        <f t="shared" si="5"/>
        <v>False</v>
      </c>
      <c r="T129" s="6" t="str">
        <f>IFERROR(__xludf.DUMMYFUNCTION("CONCATENATE(if(REGEXMATCH(C129,""R""),"" Red"",""""),if(REGEXMATCH(C129,""O""),"" Orange"",""""),if(REGEXMATCH(C129,""Y""),"" Yellow"",""""),if(REGEXMATCH(C129,""G""),"" Green"",""""),if(REGEXMATCH(C129,""B""),"" Blue"",""""),if(REGEXMATCH(C129,""P""),"" "&amp;"Purple"",""""))")," Yellow")</f>
        <v>Yellow</v>
      </c>
      <c r="U129" s="6" t="str">
        <f>IFERROR(__xludf.DUMMYFUNCTION("TRIM(CONCAT(""[right]"", REGEXREPLACE(C129, ""([ROYGBPXZC_]|1?[0-9])"", ""[img=119]res://textures/icons/$0.png[/img]\\n"")))"),"[right][img=119]res://textures/icons/Y.png[/img]\n")</f>
        <v>[right][img=119]res://textures/icons/Y.png[/img]\n</v>
      </c>
      <c r="V129" s="1" t="str">
        <f>IFERROR(__xludf.DUMMYFUNCTION("SUBSTITUTE(SUBSTITUTE(SUBSTITUTE(SUBSTITUTE(REGEXREPLACE(SUBSTITUTE(SUBSTITUTE(SUBSTITUTE(SUBSTITUTE(REGEXREPLACE(I129, ""(\[([ROYGBPTQUXZC_]|1?[0-9])\])"", ""[img=45]res://textures/icons/$2.png[/img]""),""--"",""—""),""-&gt;"",""•""),""~@"", CONCATENATE(""["&amp;"i]"",REGEXEXTRACT(B129,""^([\s\S]*),|$""),""[/i]"")),""~"", CONCATENATE(""[i]"",B129,""[/i]"")),""(\([\s\S]*?\))"",""[i][color=#34343A]$0[/color][/i]""), ""&lt;"", ""[""), ""&gt;"", ""]""), ""[/p][p]"", ""[font_size=15]\n\n[/font_size]""), ""[br/]"", ""\n"")"),"The top combatant in your deck permanently gains one of [u]brutal[/u] [i][color=#34343A](It deals combat damage before assets without brutal.)[/color][/i], [u]rush[/u] [i][color=#34343A](It can attack and intercept as soon as it enters the battlefield, bu"&amp;"t it can't be explicitly exhausted.)[/color][/i], +1/-1, or -1/+1 at random.")</f>
        <v xml:space="preserve">The top combatant in your deck permanently gains one of [u]brutal[/u] [i][color=#34343A](It deals combat damage before assets without brutal.)[/color][/i], [u]rush[/u] [i][color=#34343A](It can attack and intercept as soon as it enters the battlefield, but it can't be explicitly exhausted.)[/color][/i], +1/-1, or -1/+1 at random.</v>
      </c>
      <c r="W129" s="6" t="str">
        <f t="shared" si="6"/>
        <v>[i]Effect[/i]</v>
      </c>
      <c r="X129" s="1" t="str">
        <f t="shared" si="7"/>
        <v>RS_YC_002</v>
      </c>
      <c r="Y129" s="1"/>
    </row>
    <row r="130">
      <c r="A130" s="7" t="s">
        <v>341</v>
      </c>
      <c r="B130" s="7" t="s">
        <v>342</v>
      </c>
      <c r="C130" s="12" t="s">
        <v>343</v>
      </c>
      <c r="D130" s="9" t="str">
        <f>IFERROR(__xludf.DUMMYFUNCTION("IF(ISBLANK(A130),"""",SWITCH(IF(T130="""",0,COUNTA(SPLIT(T130,"" ""))),0,""Generic"",1,TRIM(T130),2,""Multicolor"",3,""Multicolor"",4,""Multicolor"",5,""Multicolor"",6,""Multicolor"",7,""Multicolor"",8,""Multicolor""))"),"Yellow")</f>
        <v>Yellow</v>
      </c>
      <c r="E130" s="1"/>
      <c r="F130" s="1" t="s">
        <v>35</v>
      </c>
      <c r="G130" s="7" t="s">
        <v>64</v>
      </c>
      <c r="H130" s="10" t="s">
        <v>149</v>
      </c>
      <c r="I130" s="11" t="s">
        <v>344</v>
      </c>
      <c r="J130" s="11"/>
      <c r="K130" s="6" t="s">
        <v>39</v>
      </c>
      <c r="L130" s="6" t="s">
        <v>39</v>
      </c>
      <c r="Q130" s="7">
        <v>60</v>
      </c>
      <c r="R130" s="7">
        <v>50</v>
      </c>
      <c r="S130" s="1" t="str">
        <f t="shared" ref="S130:S193" si="10">IF(ISBLANK(A130),"",IF(EQ(LEN(TRIM(K130)),0),"False","True"))</f>
        <v>False</v>
      </c>
      <c r="T130" s="6" t="str">
        <f>IFERROR(__xludf.DUMMYFUNCTION("CONCATENATE(if(REGEXMATCH(C130,""R""),"" Red"",""""),if(REGEXMATCH(C130,""O""),"" Orange"",""""),if(REGEXMATCH(C130,""Y""),"" Yellow"",""""),if(REGEXMATCH(C130,""G""),"" Green"",""""),if(REGEXMATCH(C130,""B""),"" Blue"",""""),if(REGEXMATCH(C130,""P""),"" "&amp;"Purple"",""""))")," Yellow")</f>
        <v>Yellow</v>
      </c>
      <c r="U130" s="6" t="str">
        <f>IFERROR(__xludf.DUMMYFUNCTION("TRIM(CONCAT(""[right]"", REGEXREPLACE(C130, ""([ROYGBPXZC_]|1?[0-9])"", ""[img=119]res://textures/icons/$0.png[/img]\\n"")))"),"[right][img=119]res://textures/icons/X.png[/img]\n[img=119]res://textures/icons/Y.png[/img]\n")</f>
        <v>[right][img=119]res://textures/icons/X.png[/img]\n[img=119]res://textures/icons/Y.png[/img]\n</v>
      </c>
      <c r="V130" s="1" t="str">
        <f>IFERROR(__xludf.DUMMYFUNCTION("SUBSTITUTE(SUBSTITUTE(SUBSTITUTE(SUBSTITUTE(REGEXREPLACE(SUBSTITUTE(SUBSTITUTE(SUBSTITUTE(SUBSTITUTE(REGEXREPLACE(I130, ""(\[([ROYGBPTQUXZC_]|1?[0-9])\])"", ""[img=45]res://textures/icons/$2.png[/img]""),""--"",""—""),""-&gt;"",""•""),""~@"", CONCATENATE(""["&amp;"i]"",REGEXEXTRACT(B130,""^([\s\S]*),|$""),""[/i]"")),""~"", CONCATENATE(""[i]"",B130,""[/i]"")),""(\([\s\S]*?\))"",""[i][color=#34343A]$0[/color][/i]""), ""&lt;"", ""[""), ""&gt;"", ""]""), ""[/p][p]"", ""[font_size=15]\n\n[/font_size]""), ""[br/]"", ""\n"")"),"[center]The top [img=45]res://textures/icons/X.png[/img] combatants in your deck permanently gain [u]rush[/u] [i][color=#34343A](They can attack and intercept as soon as they enter the battlefield, but it can't be explicitly exhausted.)[/color][/i][/cente"&amp;"r]")</f>
        <v xml:space="preserve">[center]The top [img=45]res://textures/icons/X.png[/img] combatants in your deck permanently gain [u]rush[/u] [i][color=#34343A](They can attack and intercept as soon as they enter the battlefield, but it can't be explicitly exhausted.)[/color][/i][/center]</v>
      </c>
      <c r="W130" s="6" t="str">
        <f t="shared" ref="W130:W193" si="11">CONCATENATE("[i]",F130,"[/i]")</f>
        <v>[i]Effect[/i]</v>
      </c>
      <c r="X130" s="1" t="str">
        <f t="shared" ref="X130:X193" si="12">IF(EQ(A130,B130),"0",CONCATENATE("RS_",A130))</f>
        <v>RS_YC_003</v>
      </c>
      <c r="Y130" s="1"/>
    </row>
    <row r="131">
      <c r="A131" s="7" t="s">
        <v>345</v>
      </c>
      <c r="B131" s="7" t="s">
        <v>346</v>
      </c>
      <c r="C131" s="12" t="s">
        <v>263</v>
      </c>
      <c r="D131" s="9" t="s">
        <v>107</v>
      </c>
      <c r="E131" s="1"/>
      <c r="F131" s="1" t="s">
        <v>35</v>
      </c>
      <c r="G131" s="7" t="s">
        <v>277</v>
      </c>
      <c r="H131" s="10" t="s">
        <v>149</v>
      </c>
      <c r="I131" s="11" t="s">
        <v>347</v>
      </c>
      <c r="J131" s="11"/>
      <c r="K131" s="6" t="s">
        <v>39</v>
      </c>
      <c r="L131" s="6" t="s">
        <v>39</v>
      </c>
      <c r="Q131" s="7">
        <v>60</v>
      </c>
      <c r="R131" s="7">
        <v>50</v>
      </c>
      <c r="S131" s="1" t="str">
        <f t="shared" si="10"/>
        <v>False</v>
      </c>
      <c r="T131" s="7" t="s">
        <v>267</v>
      </c>
      <c r="U131" s="6" t="str">
        <f>IFERROR(__xludf.DUMMYFUNCTION("TRIM(CONCAT(""[right]"", REGEXREPLACE(C131, ""([ROYGBPXZC_]|1?[0-9])"", ""[img=119]res://textures/icons/$0.png[/img]\\n"")))"),"[right][img=119]res://textures/icons/_.png[/img]\n")</f>
        <v>[right][img=119]res://textures/icons/_.png[/img]\n</v>
      </c>
      <c r="V131" s="1" t="str">
        <f>IFERROR(__xludf.DUMMYFUNCTION("SUBSTITUTE(SUBSTITUTE(SUBSTITUTE(SUBSTITUTE(REGEXREPLACE(SUBSTITUTE(SUBSTITUTE(SUBSTITUTE(SUBSTITUTE(REGEXREPLACE(I131, ""(\[([ROYGBPTQUXZC_]|1?[0-9])\])"", ""[img=45]res://textures/icons/$2.png[/img]""),""--"",""—""),""-&gt;"",""•""),""~@"", CONCATENATE(""["&amp;"i]"",REGEXEXTRACT(B131,""^([\s\S]*),|$""),""[/i]"")),""~"", CONCATENATE(""[i]"",B131,""[/i]"")),""(\([\s\S]*?\))"",""[i][color=#34343A]$0[/color][/i]""), ""&lt;"", ""[""), ""&gt;"", ""]""), ""[/p][p]"", ""[font_size=15]\n\n[/font_size]""), ""[br/]"", ""\n"")"),"[i][color=#34343A]([img=45]res://textures/icons/_.png[/img] can be paid with either [img=45]res://textures/icons/O.png[/img] or [img=45]res://textures/icons/Y.png[/img].)[/color][/i][p]Choose a combatant; until end of turn, swap its attack power and healt"&amp;"h.[/p]")</f>
        <v xml:space="preserve">[i][color=#34343A]([img=45]res://textures/icons/_.png[/img] can be paid with either [img=45]res://textures/icons/O.png[/img] or [img=45]res://textures/icons/Y.png[/img].)[/color][/i][p]Choose a combatant; until end of turn, swap its attack power and health.[/p]</v>
      </c>
      <c r="W131" s="6" t="str">
        <f t="shared" si="11"/>
        <v>[i]Effect[/i]</v>
      </c>
      <c r="X131" s="1" t="str">
        <f t="shared" si="12"/>
        <v>RS_YC_004</v>
      </c>
      <c r="Y131" s="1"/>
    </row>
    <row r="132">
      <c r="A132" s="7" t="s">
        <v>348</v>
      </c>
      <c r="B132" s="7" t="s">
        <v>349</v>
      </c>
      <c r="C132" s="12" t="s">
        <v>263</v>
      </c>
      <c r="D132" s="9" t="s">
        <v>107</v>
      </c>
      <c r="E132" s="1"/>
      <c r="F132" s="1" t="s">
        <v>35</v>
      </c>
      <c r="H132" s="10" t="s">
        <v>183</v>
      </c>
      <c r="I132" s="11" t="s">
        <v>350</v>
      </c>
      <c r="J132" s="11"/>
      <c r="K132" s="6" t="s">
        <v>39</v>
      </c>
      <c r="L132" s="6" t="s">
        <v>39</v>
      </c>
      <c r="Q132" s="7">
        <v>50</v>
      </c>
      <c r="R132" s="7">
        <v>50</v>
      </c>
      <c r="S132" s="1" t="str">
        <f t="shared" si="10"/>
        <v>False</v>
      </c>
      <c r="T132" s="7" t="s">
        <v>267</v>
      </c>
      <c r="U132" s="6" t="str">
        <f>IFERROR(__xludf.DUMMYFUNCTION("TRIM(CONCAT(""[right]"", REGEXREPLACE(C132, ""([ROYGBPXZC_]|1?[0-9])"", ""[img=119]res://textures/icons/$0.png[/img]\\n"")))"),"[right][img=119]res://textures/icons/_.png[/img]\n")</f>
        <v>[right][img=119]res://textures/icons/_.png[/img]\n</v>
      </c>
      <c r="V132" s="1" t="str">
        <f>IFERROR(__xludf.DUMMYFUNCTION("SUBSTITUTE(SUBSTITUTE(SUBSTITUTE(SUBSTITUTE(REGEXREPLACE(SUBSTITUTE(SUBSTITUTE(SUBSTITUTE(SUBSTITUTE(REGEXREPLACE(I132, ""(\[([ROYGBPTQUXZC_]|1?[0-9])\])"", ""[img=45]res://textures/icons/$2.png[/img]""),""--"",""—""),""-&gt;"",""•""),""~@"", CONCATENATE(""["&amp;"i]"",REGEXEXTRACT(B132,""^([\s\S]*),|$""),""[/i]"")),""~"", CONCATENATE(""[i]"",B132,""[/i]"")),""(\([\s\S]*?\))"",""[i][color=#34343A]$0[/color][/i]""), ""&lt;"", ""[""), ""&gt;"", ""]""), ""[/p][p]"", ""[font_size=15]\n\n[/font_size]""), ""[br/]"", ""\n"")"),"[center][i][color=#34343A]([img=45]res://textures/icons/_.png[/img] can be paid with either [img=45]res://textures/icons/O.png[/img] or [img=45]res://textures/icons/Y.png[/img].)[/color][/i][/center][p][center][u]Advantageous[/u] [i][color=#34343A](When ["&amp;"i]Amp up the Volume[/i] resolves, draw a card.)[/color][/i][/center][font_size=15]\n\n[/font_size]Choose a combatant; until end of turn, it gets +2/+0.[/p]")</f>
        <v xml:space="preserve">[center][i][color=#34343A]([img=45]res://textures/icons/_.png[/img] can be paid with either [img=45]res://textures/icons/O.png[/img] or [img=45]res://textures/icons/Y.png[/img].)[/color][/i][/center][p][center][u]Advantageous[/u] [i][color=#34343A](When [i]Amp up the Volume[/i] resolves, draw a card.)[/color][/i][/center][font_size=15]\n\n[/font_size]Choose a combatant; until end of turn, it gets +2/+0.[/p]</v>
      </c>
      <c r="W132" s="6" t="str">
        <f t="shared" si="11"/>
        <v>[i]Effect[/i]</v>
      </c>
      <c r="X132" s="1" t="str">
        <f t="shared" si="12"/>
        <v>RS_MC_OY_004</v>
      </c>
      <c r="Y132" s="1"/>
    </row>
    <row r="133">
      <c r="A133" s="7" t="s">
        <v>351</v>
      </c>
      <c r="B133" s="7" t="s">
        <v>352</v>
      </c>
      <c r="C133" s="15" t="s">
        <v>353</v>
      </c>
      <c r="D133" s="9" t="s">
        <v>107</v>
      </c>
      <c r="E133" s="1"/>
      <c r="F133" s="1" t="s">
        <v>26</v>
      </c>
      <c r="G133" s="7" t="s">
        <v>354</v>
      </c>
      <c r="H133" s="10" t="s">
        <v>153</v>
      </c>
      <c r="I133" s="11" t="s">
        <v>355</v>
      </c>
      <c r="J133" s="11"/>
      <c r="K133" s="7">
        <v>3</v>
      </c>
      <c r="L133" s="7">
        <v>3</v>
      </c>
      <c r="Q133" s="7">
        <v>60</v>
      </c>
      <c r="R133" s="7">
        <v>35</v>
      </c>
      <c r="S133" s="1" t="str">
        <f t="shared" si="10"/>
        <v>True</v>
      </c>
      <c r="T133" s="7" t="s">
        <v>267</v>
      </c>
      <c r="U133" s="6" t="str">
        <f>IFERROR(__xludf.DUMMYFUNCTION("TRIM(CONCAT(""[right]"", REGEXREPLACE(C133, ""([ROYGBPXZC_]|1?[0-9])"", ""[img=119]res://textures/icons/$0.png[/img]\\n"")))"),"[right][img=119]res://textures/icons/1.png[/img]\n[img=119]res://textures/icons/_.png[/img]\n")</f>
        <v>[right][img=119]res://textures/icons/1.png[/img]\n[img=119]res://textures/icons/_.png[/img]\n</v>
      </c>
      <c r="V133" s="1" t="str">
        <f>IFERROR(__xludf.DUMMYFUNCTION("SUBSTITUTE(SUBSTITUTE(SUBSTITUTE(SUBSTITUTE(REGEXREPLACE(SUBSTITUTE(SUBSTITUTE(SUBSTITUTE(SUBSTITUTE(REGEXREPLACE(I133, ""(\[([ROYGBPTQUXZC_]|1?[0-9])\])"", ""[img=45]res://textures/icons/$2.png[/img]""),""--"",""—""),""-&gt;"",""•""),""~@"", CONCATENATE(""["&amp;"i]"",REGEXEXTRACT(B133,""^([\s\S]*),|$""),""[/i]"")),""~"", CONCATENATE(""[i]"",B133,""[/i]"")),""(\([\s\S]*?\))"",""[i][color=#34343A]$0[/color][/i]""), ""&lt;"", ""[""), ""&gt;"", ""]""), ""[/p][p]"", ""[font_size=15]\n\n[/font_size]""), ""[br/]"", ""\n"")"),"[i][color=#34343A]([img=45]res://textures/icons/_.png[/img] can be paid with either [img=45]res://textures/icons/O.png[/img] or [img=45]res://textures/icons/Y.png[/img].)[/color][/i][p][i]Bedroom Star[/i] costs [img=45]res://textures/icons/1.png[/img] les"&amp;"s to deploy if you didn't go first.[font_size=15]\n\n[/font_size][i]Harmonize[/i] — Each time [i]Bedroom Star[/i] has attacked or intercepted twice, while its attack power and health were the same; the top combatant of your deck permanently gets +1/+1.[/p"&amp;"]")</f>
        <v xml:space="preserve">[i][color=#34343A]([img=45]res://textures/icons/_.png[/img] can be paid with either [img=45]res://textures/icons/O.png[/img] or [img=45]res://textures/icons/Y.png[/img].)[/color][/i][p][i]Bedroom Star[/i] costs [img=45]res://textures/icons/1.png[/img] less to deploy if you didn't go first.[font_size=15]\n\n[/font_size][i]Harmonize[/i] — Each time [i]Bedroom Star[/i] has attacked or intercepted twice, while its attack power and health were the same; the top combatant of your deck permanently gets +1/+1.[/p]</v>
      </c>
      <c r="W133" s="6" t="str">
        <f t="shared" si="11"/>
        <v>[i]Asset[/i]</v>
      </c>
      <c r="X133" s="1" t="str">
        <f t="shared" si="12"/>
        <v>RS_MC_OY_005</v>
      </c>
      <c r="Y133" s="1"/>
    </row>
    <row r="134">
      <c r="A134" s="7" t="s">
        <v>356</v>
      </c>
      <c r="B134" s="7" t="s">
        <v>357</v>
      </c>
      <c r="C134" s="12" t="s">
        <v>25</v>
      </c>
      <c r="D134" s="9" t="s">
        <v>107</v>
      </c>
      <c r="E134" s="1"/>
      <c r="F134" s="1" t="s">
        <v>201</v>
      </c>
      <c r="G134" s="7"/>
      <c r="H134" s="20">
        <v>5</v>
      </c>
      <c r="I134" s="11" t="s">
        <v>358</v>
      </c>
      <c r="J134" s="7"/>
      <c r="K134" s="7"/>
      <c r="L134" s="7"/>
      <c r="O134" s="7"/>
      <c r="Q134" s="7">
        <v>60</v>
      </c>
      <c r="R134" s="7">
        <v>50</v>
      </c>
      <c r="S134" s="1" t="str">
        <f t="shared" si="10"/>
        <v>False</v>
      </c>
      <c r="T134" s="7" t="s">
        <v>267</v>
      </c>
      <c r="U134" s="6" t="str">
        <f>IFERROR(__xludf.DUMMYFUNCTION("TRIM(CONCAT(""[right]"", REGEXREPLACE(C134, ""([ROYGBPXZC_]|1?[0-9])"", ""[img=119]res://textures/icons/$0.png[/img]\\n"")))"),"[right]")</f>
        <v>[right]</v>
      </c>
      <c r="V134" s="1" t="str">
        <f>IFERROR(__xludf.DUMMYFUNCTION("SUBSTITUTE(SUBSTITUTE(SUBSTITUTE(SUBSTITUTE(REGEXREPLACE(SUBSTITUTE(SUBSTITUTE(SUBSTITUTE(SUBSTITUTE(REGEXREPLACE(I134, ""(\[([ROYGBPTQUXZC_]|1?[0-9])\])"", ""[img=45]res://textures/icons/$2.png[/img]""),""--"",""—""),""-&gt;"",""•""),""~@"", CONCATENATE(""["&amp;"i]"",REGEXEXTRACT(B134,""^([\s\S]*),|$""),""[/i]"")),""~"", CONCATENATE(""[i]"",B134,""[/i]"")),""(\([\s\S]*?\))"",""[i][color=#34343A]$0[/color][/i]""), ""&lt;"", ""[""), ""&gt;"", ""]""), ""[/p][p]"", ""[font_size=15]\n\n[/font_size]""), ""[br/]"", ""\n"")"),"[center][i][color=#34343A](Generators are not assets or effects. You may only play [i]Concert Stage[/i] whenever you have the option to hire a generator, instead of hiring any other card as a generator.)[/color][/i][/center][p]When you hire [i]Concert Sta"&amp;"ge[/i] choose a combatant you control; it permanently gains [u]sluggish[/u].[font_size=15]\n\n[/font_size][img=45]res://textures/icons/T.png[/img], [u]Forfeit[/u] [i][color=#34343A](Put the specified card into its owner's discard.)[/color][/i] [i]Concert "&amp;"Stage[/i]: You may search your deck of an Emotion or Unrest card; if you do, hire it as a generator, then shuffle your deck.[/p]")</f>
        <v xml:space="preserve">[center][i][color=#34343A](Generators are not assets or effects. You may only play [i]Concert Stage[/i] whenever you have the option to hire a generator, instead of hiring any other card as a generator.)[/color][/i][/center][p]When you hire [i]Concert Stage[/i] choose a combatant you control; it permanently gains [u]sluggish[/u].[font_size=15]\n\n[/font_size][img=45]res://textures/icons/T.png[/img], [u]Forfeit[/u] [i][color=#34343A](Put the specified card into its owner's discard.)[/color][/i] [i]Concert Stage[/i]: You may search your deck of an Emotion or Unrest card; if you do, hire it as a generator, then shuffle your deck.[/p]</v>
      </c>
      <c r="W134" s="6" t="str">
        <f t="shared" si="11"/>
        <v>[i]Generator[/i]</v>
      </c>
      <c r="X134" s="1" t="str">
        <f t="shared" si="12"/>
        <v>RS_OYPG</v>
      </c>
      <c r="Y134" s="1"/>
    </row>
    <row r="135">
      <c r="A135" s="7" t="s">
        <v>359</v>
      </c>
      <c r="B135" s="7" t="str">
        <f t="shared" si="9"/>
        <v>M_CMDR_OG_001</v>
      </c>
      <c r="C135" s="8"/>
      <c r="D135" s="9" t="str">
        <f>IFERROR(__xludf.DUMMYFUNCTION("IF(ISBLANK(A135),"""",SWITCH(IF(T135="""",0,COUNTA(SPLIT(T135,"" ""))),0,""Generic"",1,TRIM(T135),2,""Multicolor"",3,""Multicolor"",4,""Multicolor"",5,""Multicolor"",6,""Multicolor"",7,""Multicolor"",8,""Multicolor""))"),"Generic")</f>
        <v>Generic</v>
      </c>
      <c r="E135" s="1"/>
      <c r="F135" s="1"/>
      <c r="G135" s="7" t="s">
        <v>360</v>
      </c>
      <c r="H135" s="10" t="s">
        <v>360</v>
      </c>
      <c r="I135" s="11" t="s">
        <v>360</v>
      </c>
      <c r="J135" s="11" t="s">
        <v>360</v>
      </c>
      <c r="K135" s="6" t="e">
        <v>#VALUE!</v>
      </c>
      <c r="L135" s="6" t="e">
        <v>#VALUE!</v>
      </c>
      <c r="O135" s="7" t="s">
        <v>360</v>
      </c>
      <c r="Q135" s="7">
        <v>60</v>
      </c>
      <c r="R135" s="7">
        <v>50</v>
      </c>
      <c r="S135" s="1" t="str">
        <f t="shared" si="10"/>
        <v>#VALUE!</v>
      </c>
      <c r="T135" s="6" t="str">
        <f>IFERROR(__xludf.DUMMYFUNCTION("CONCATENATE(if(REGEXMATCH(C135,""R""),"" Red"",""""),if(REGEXMATCH(C135,""O""),"" Orange"",""""),if(REGEXMATCH(C135,""Y""),"" Yellow"",""""),if(REGEXMATCH(C135,""G""),"" Green"",""""),if(REGEXMATCH(C135,""B""),"" Blue"",""""),if(REGEXMATCH(C135,""P""),"" "&amp;"Purple"",""""))"),"")</f>
        <v/>
      </c>
      <c r="U135" s="6" t="str">
        <f>IFERROR(__xludf.DUMMYFUNCTION("TRIM(CONCAT(""[right]"", REGEXREPLACE(C135, ""([ROYGBPXZC_]|1?[0-9])"", ""[img=119]res://textures/icons/$0.png[/img]\\n"")))"),"[right]")</f>
        <v>[right]</v>
      </c>
      <c r="V135" s="1" t="str">
        <f>IFERROR(__xludf.DUMMYFUNCTION("SUBSTITUTE(SUBSTITUTE(SUBSTITUTE(SUBSTITUTE(REGEXREPLACE(SUBSTITUTE(SUBSTITUTE(SUBSTITUTE(SUBSTITUTE(REGEXREPLACE(I135, ""(\[([ROYGBPTQUXZC_]|1?[0-9])\])"", ""[img=45]res://textures/icons/$2.png[/img]""),""--"",""—""),""-&gt;"",""•""),""~@"", CONCATENATE(""["&amp;"i]"",REGEXEXTRACT(B135,""^([\s\S]*),|$""),""[/i]"")),""~"", CONCATENATE(""[i]"",B135,""[/i]"")),""(\([\s\S]*?\))"",""[i][color=#34343A]$0[/color][/i]""), ""&lt;"", ""[""), ""&gt;"", ""]""), ""[/p][p]"", ""[font_size=15]\n\n[/font_size]""), ""[br/]"", ""\n"")"),"Shield midrange")</f>
        <v xml:space="preserve">Shield midrange</v>
      </c>
      <c r="W135" s="6" t="str">
        <f t="shared" si="11"/>
        <v>[i][/i]</v>
      </c>
      <c r="X135" s="1" t="str">
        <f t="shared" si="12"/>
        <v>0</v>
      </c>
      <c r="Y135" s="1"/>
    </row>
    <row r="136">
      <c r="A136" s="7" t="s">
        <v>177</v>
      </c>
      <c r="B136" s="6" t="str">
        <f t="shared" si="9"/>
        <v>Y</v>
      </c>
      <c r="C136" s="8"/>
      <c r="D136" s="9" t="str">
        <f>IFERROR(__xludf.DUMMYFUNCTION("IF(ISBLANK(A136),"""",SWITCH(IF(T136="""",0,COUNTA(SPLIT(T136,"" ""))),0,""Generic"",1,TRIM(T136),2,""Multicolor"",3,""Multicolor"",4,""Multicolor"",5,""Multicolor"",6,""Multicolor"",7,""Multicolor"",8,""Multicolor""))"),"Generic")</f>
        <v>Generic</v>
      </c>
      <c r="E136" s="1"/>
      <c r="F136" s="1"/>
      <c r="H136" s="10"/>
      <c r="I136" s="11"/>
      <c r="J136" s="11"/>
      <c r="K136" s="6" t="s">
        <v>39</v>
      </c>
      <c r="L136" s="6" t="s">
        <v>39</v>
      </c>
      <c r="O136" s="11"/>
      <c r="Q136" s="7">
        <v>60</v>
      </c>
      <c r="R136" s="7">
        <v>50</v>
      </c>
      <c r="S136" s="1" t="str">
        <f t="shared" si="10"/>
        <v>False</v>
      </c>
      <c r="T136" s="6" t="str">
        <f>IFERROR(__xludf.DUMMYFUNCTION("CONCATENATE(if(REGEXMATCH(C136,""R""),"" Red"",""""),if(REGEXMATCH(C136,""O""),"" Orange"",""""),if(REGEXMATCH(C136,""Y""),"" Yellow"",""""),if(REGEXMATCH(C136,""G""),"" Green"",""""),if(REGEXMATCH(C136,""B""),"" Blue"",""""),if(REGEXMATCH(C136,""P""),"" "&amp;"Purple"",""""))"),"")</f>
        <v/>
      </c>
      <c r="U136" s="6" t="str">
        <f>IFERROR(__xludf.DUMMYFUNCTION("TRIM(CONCAT(""[right]"", REGEXREPLACE(C136, ""([ROYGBPXZC_]|1?[0-9])"", ""[img=119]res://textures/icons/$0.png[/img]\\n"")))"),"[right]")</f>
        <v>[right]</v>
      </c>
      <c r="V136" s="1" t="str">
        <f>IFERROR(__xludf.DUMMYFUNCTION("SUBSTITUTE(SUBSTITUTE(SUBSTITUTE(SUBSTITUTE(REGEXREPLACE(SUBSTITUTE(SUBSTITUTE(SUBSTITUTE(SUBSTITUTE(REGEXREPLACE(I136, ""(\[([ROYGBPTQUXZC_]|1?[0-9])\])"", ""[img=45]res://textures/icons/$2.png[/img]""),""--"",""—""),""-&gt;"",""•""),""~@"", CONCATENATE(""["&amp;"i]"",REGEXEXTRACT(B136,""^([\s\S]*),|$""),""[/i]"")),""~"", CONCATENATE(""[i]"",B136,""[/i]"")),""(\([\s\S]*?\))"",""[i][color=#34343A]$0[/color][/i]""), ""&lt;"", ""[""), ""&gt;"", ""]""), ""[/p][p]"", ""[font_size=15]\n\n[/font_size]""), ""[br/]"", ""\n"")"),"")</f>
        <v/>
      </c>
      <c r="W136" s="6" t="str">
        <f t="shared" si="11"/>
        <v>[i][/i]</v>
      </c>
      <c r="X136" s="1" t="str">
        <f t="shared" si="12"/>
        <v>0</v>
      </c>
      <c r="Y136" s="1"/>
    </row>
    <row r="137">
      <c r="A137" s="7" t="s">
        <v>177</v>
      </c>
      <c r="B137" s="6" t="str">
        <f t="shared" si="9"/>
        <v>Y</v>
      </c>
      <c r="C137" s="8"/>
      <c r="D137" s="9" t="str">
        <f>IFERROR(__xludf.DUMMYFUNCTION("IF(ISBLANK(A137),"""",SWITCH(IF(T137="""",0,COUNTA(SPLIT(T137,"" ""))),0,""Generic"",1,TRIM(T137),2,""Multicolor"",3,""Multicolor"",4,""Multicolor"",5,""Multicolor"",6,""Multicolor"",7,""Multicolor"",8,""Multicolor""))"),"Generic")</f>
        <v>Generic</v>
      </c>
      <c r="E137" s="1"/>
      <c r="F137" s="1"/>
      <c r="H137" s="10"/>
      <c r="I137" s="11"/>
      <c r="J137" s="11"/>
      <c r="K137" s="6" t="s">
        <v>39</v>
      </c>
      <c r="L137" s="6" t="s">
        <v>39</v>
      </c>
      <c r="O137" s="11"/>
      <c r="Q137" s="7">
        <v>60</v>
      </c>
      <c r="R137" s="7">
        <v>50</v>
      </c>
      <c r="S137" s="1" t="str">
        <f t="shared" si="10"/>
        <v>False</v>
      </c>
      <c r="T137" s="6" t="str">
        <f>IFERROR(__xludf.DUMMYFUNCTION("CONCATENATE(if(REGEXMATCH(C137,""R""),"" Red"",""""),if(REGEXMATCH(C137,""O""),"" Orange"",""""),if(REGEXMATCH(C137,""Y""),"" Yellow"",""""),if(REGEXMATCH(C137,""G""),"" Green"",""""),if(REGEXMATCH(C137,""B""),"" Blue"",""""),if(REGEXMATCH(C137,""P""),"" "&amp;"Purple"",""""))"),"")</f>
        <v/>
      </c>
      <c r="U137" s="6" t="str">
        <f>IFERROR(__xludf.DUMMYFUNCTION("TRIM(CONCAT(""[right]"", REGEXREPLACE(C137, ""([ROYGBPXZC_]|1?[0-9])"", ""[img=119]res://textures/icons/$0.png[/img]\\n"")))"),"[right]")</f>
        <v>[right]</v>
      </c>
      <c r="V137" s="1" t="str">
        <f>IFERROR(__xludf.DUMMYFUNCTION("SUBSTITUTE(SUBSTITUTE(SUBSTITUTE(SUBSTITUTE(REGEXREPLACE(SUBSTITUTE(SUBSTITUTE(SUBSTITUTE(SUBSTITUTE(REGEXREPLACE(I137, ""(\[([ROYGBPTQUXZC_]|1?[0-9])\])"", ""[img=45]res://textures/icons/$2.png[/img]""),""--"",""—""),""-&gt;"",""•""),""~@"", CONCATENATE(""["&amp;"i]"",REGEXEXTRACT(B137,""^([\s\S]*),|$""),""[/i]"")),""~"", CONCATENATE(""[i]"",B137,""[/i]"")),""(\([\s\S]*?\))"",""[i][color=#34343A]$0[/color][/i]""), ""&lt;"", ""[""), ""&gt;"", ""]""), ""[/p][p]"", ""[font_size=15]\n\n[/font_size]""), ""[br/]"", ""\n"")"),"")</f>
        <v/>
      </c>
      <c r="W137" s="6" t="str">
        <f t="shared" si="11"/>
        <v>[i][/i]</v>
      </c>
      <c r="X137" s="1" t="str">
        <f t="shared" si="12"/>
        <v>0</v>
      </c>
      <c r="Y137" s="1"/>
    </row>
    <row r="138">
      <c r="A138" s="7" t="s">
        <v>177</v>
      </c>
      <c r="B138" s="6" t="str">
        <f t="shared" si="9"/>
        <v>Y</v>
      </c>
      <c r="C138" s="8"/>
      <c r="D138" s="9" t="str">
        <f>IFERROR(__xludf.DUMMYFUNCTION("IF(ISBLANK(A138),"""",SWITCH(IF(T138="""",0,COUNTA(SPLIT(T138,"" ""))),0,""Generic"",1,TRIM(T138),2,""Multicolor"",3,""Multicolor"",4,""Multicolor"",5,""Multicolor"",6,""Multicolor"",7,""Multicolor"",8,""Multicolor""))"),"Generic")</f>
        <v>Generic</v>
      </c>
      <c r="E138" s="1"/>
      <c r="F138" s="1"/>
      <c r="H138" s="10"/>
      <c r="I138" s="11"/>
      <c r="J138" s="11"/>
      <c r="K138" s="6" t="s">
        <v>39</v>
      </c>
      <c r="L138" s="6" t="s">
        <v>39</v>
      </c>
      <c r="Q138" s="7">
        <v>60</v>
      </c>
      <c r="R138" s="7">
        <v>50</v>
      </c>
      <c r="S138" s="1" t="str">
        <f t="shared" si="10"/>
        <v>False</v>
      </c>
      <c r="T138" s="6" t="str">
        <f>IFERROR(__xludf.DUMMYFUNCTION("CONCATENATE(if(REGEXMATCH(C138,""R""),"" Red"",""""),if(REGEXMATCH(C138,""O""),"" Orange"",""""),if(REGEXMATCH(C138,""Y""),"" Yellow"",""""),if(REGEXMATCH(C138,""G""),"" Green"",""""),if(REGEXMATCH(C138,""B""),"" Blue"",""""),if(REGEXMATCH(C138,""P""),"" "&amp;"Purple"",""""))"),"")</f>
        <v/>
      </c>
      <c r="U138" s="6" t="str">
        <f>IFERROR(__xludf.DUMMYFUNCTION("TRIM(CONCAT(""[right]"", REGEXREPLACE(C138, ""([ROYGBPXZC_]|1?[0-9])"", ""[img=119]res://textures/icons/$0.png[/img]\\n"")))"),"[right]")</f>
        <v>[right]</v>
      </c>
      <c r="V138" s="1" t="str">
        <f>IFERROR(__xludf.DUMMYFUNCTION("SUBSTITUTE(SUBSTITUTE(SUBSTITUTE(SUBSTITUTE(REGEXREPLACE(SUBSTITUTE(SUBSTITUTE(SUBSTITUTE(SUBSTITUTE(REGEXREPLACE(I138, ""(\[([ROYGBPTQUXZC_]|1?[0-9])\])"", ""[img=45]res://textures/icons/$2.png[/img]""),""--"",""—""),""-&gt;"",""•""),""~@"", CONCATENATE(""["&amp;"i]"",REGEXEXTRACT(B138,""^([\s\S]*),|$""),""[/i]"")),""~"", CONCATENATE(""[i]"",B138,""[/i]"")),""(\([\s\S]*?\))"",""[i][color=#34343A]$0[/color][/i]""), ""&lt;"", ""[""), ""&gt;"", ""]""), ""[/p][p]"", ""[font_size=15]\n\n[/font_size]""), ""[br/]"", ""\n"")"),"")</f>
        <v/>
      </c>
      <c r="W138" s="6" t="str">
        <f t="shared" si="11"/>
        <v>[i][/i]</v>
      </c>
      <c r="X138" s="1" t="str">
        <f t="shared" si="12"/>
        <v>0</v>
      </c>
      <c r="Y138" s="1"/>
    </row>
    <row r="139">
      <c r="A139" s="7" t="s">
        <v>177</v>
      </c>
      <c r="B139" s="6" t="str">
        <f t="shared" si="9"/>
        <v>Y</v>
      </c>
      <c r="C139" s="8"/>
      <c r="D139" s="9" t="str">
        <f>IFERROR(__xludf.DUMMYFUNCTION("IF(ISBLANK(A139),"""",SWITCH(IF(T139="""",0,COUNTA(SPLIT(T139,"" ""))),0,""Generic"",1,TRIM(T139),2,""Multicolor"",3,""Multicolor"",4,""Multicolor"",5,""Multicolor"",6,""Multicolor"",7,""Multicolor"",8,""Multicolor""))"),"Generic")</f>
        <v>Generic</v>
      </c>
      <c r="E139" s="1"/>
      <c r="F139" s="1"/>
      <c r="H139" s="10"/>
      <c r="I139" s="11"/>
      <c r="J139" s="11"/>
      <c r="K139" s="6" t="s">
        <v>39</v>
      </c>
      <c r="L139" s="6" t="s">
        <v>39</v>
      </c>
      <c r="Q139" s="7">
        <v>60</v>
      </c>
      <c r="R139" s="7">
        <v>50</v>
      </c>
      <c r="S139" s="1" t="str">
        <f t="shared" si="10"/>
        <v>False</v>
      </c>
      <c r="T139" s="6" t="str">
        <f>IFERROR(__xludf.DUMMYFUNCTION("CONCATENATE(if(REGEXMATCH(C139,""R""),"" Red"",""""),if(REGEXMATCH(C139,""O""),"" Orange"",""""),if(REGEXMATCH(C139,""Y""),"" Yellow"",""""),if(REGEXMATCH(C139,""G""),"" Green"",""""),if(REGEXMATCH(C139,""B""),"" Blue"",""""),if(REGEXMATCH(C139,""P""),"" "&amp;"Purple"",""""))"),"")</f>
        <v/>
      </c>
      <c r="U139" s="6" t="str">
        <f>IFERROR(__xludf.DUMMYFUNCTION("TRIM(CONCAT(""[right]"", REGEXREPLACE(C139, ""([ROYGBPXZC_]|1?[0-9])"", ""[img=119]res://textures/icons/$0.png[/img]\\n"")))"),"[right]")</f>
        <v>[right]</v>
      </c>
      <c r="V139" s="1" t="str">
        <f>IFERROR(__xludf.DUMMYFUNCTION("SUBSTITUTE(SUBSTITUTE(SUBSTITUTE(SUBSTITUTE(REGEXREPLACE(SUBSTITUTE(SUBSTITUTE(SUBSTITUTE(SUBSTITUTE(REGEXREPLACE(I139, ""(\[([ROYGBPTQUXZC_]|1?[0-9])\])"", ""[img=45]res://textures/icons/$2.png[/img]""),""--"",""—""),""-&gt;"",""•""),""~@"", CONCATENATE(""["&amp;"i]"",REGEXEXTRACT(B139,""^([\s\S]*),|$""),""[/i]"")),""~"", CONCATENATE(""[i]"",B139,""[/i]"")),""(\([\s\S]*?\))"",""[i][color=#34343A]$0[/color][/i]""), ""&lt;"", ""[""), ""&gt;"", ""]""), ""[/p][p]"", ""[font_size=15]\n\n[/font_size]""), ""[br/]"", ""\n"")"),"")</f>
        <v/>
      </c>
      <c r="W139" s="6" t="str">
        <f t="shared" si="11"/>
        <v>[i][/i]</v>
      </c>
      <c r="X139" s="1" t="str">
        <f t="shared" si="12"/>
        <v>0</v>
      </c>
      <c r="Y139" s="1"/>
    </row>
    <row r="140">
      <c r="A140" s="7" t="s">
        <v>75</v>
      </c>
      <c r="B140" s="6" t="str">
        <f t="shared" si="9"/>
        <v>U</v>
      </c>
      <c r="C140" s="8"/>
      <c r="D140" s="9" t="str">
        <f>IFERROR(__xludf.DUMMYFUNCTION("IF(ISBLANK(A140),"""",SWITCH(IF(T140="""",0,COUNTA(SPLIT(T140,"" ""))),0,""Generic"",1,TRIM(T140),2,""Multicolor"",3,""Multicolor"",4,""Multicolor"",5,""Multicolor"",6,""Multicolor"",7,""Multicolor"",8,""Multicolor""))"),"Generic")</f>
        <v>Generic</v>
      </c>
      <c r="E140" s="1"/>
      <c r="F140" s="1"/>
      <c r="H140" s="10"/>
      <c r="I140" s="11"/>
      <c r="J140" s="11"/>
      <c r="K140" s="6" t="s">
        <v>39</v>
      </c>
      <c r="L140" s="6" t="s">
        <v>39</v>
      </c>
      <c r="Q140" s="7">
        <v>60</v>
      </c>
      <c r="R140" s="7">
        <v>50</v>
      </c>
      <c r="S140" s="1" t="str">
        <f t="shared" si="10"/>
        <v>False</v>
      </c>
      <c r="T140" s="6" t="str">
        <f>IFERROR(__xludf.DUMMYFUNCTION("CONCATENATE(if(REGEXMATCH(C140,""R""),"" Red"",""""),if(REGEXMATCH(C140,""O""),"" Orange"",""""),if(REGEXMATCH(C140,""Y""),"" Yellow"",""""),if(REGEXMATCH(C140,""G""),"" Green"",""""),if(REGEXMATCH(C140,""B""),"" Blue"",""""),if(REGEXMATCH(C140,""P""),"" "&amp;"Purple"",""""))"),"")</f>
        <v/>
      </c>
      <c r="U140" s="6" t="str">
        <f>IFERROR(__xludf.DUMMYFUNCTION("TRIM(CONCAT(""[right]"", REGEXREPLACE(C140, ""([ROYGBPXZC_]|1?[0-9])"", ""[img=119]res://textures/icons/$0.png[/img]\\n"")))"),"[right]")</f>
        <v>[right]</v>
      </c>
      <c r="V140" s="1" t="str">
        <f>IFERROR(__xludf.DUMMYFUNCTION("SUBSTITUTE(SUBSTITUTE(SUBSTITUTE(SUBSTITUTE(REGEXREPLACE(SUBSTITUTE(SUBSTITUTE(SUBSTITUTE(SUBSTITUTE(REGEXREPLACE(I140, ""(\[([ROYGBPTQUXZC_]|1?[0-9])\])"", ""[img=45]res://textures/icons/$2.png[/img]""),""--"",""—""),""-&gt;"",""•""),""~@"", CONCATENATE(""["&amp;"i]"",REGEXEXTRACT(B140,""^([\s\S]*),|$""),""[/i]"")),""~"", CONCATENATE(""[i]"",B140,""[/i]"")),""(\([\s\S]*?\))"",""[i][color=#34343A]$0[/color][/i]""), ""&lt;"", ""[""), ""&gt;"", ""]""), ""[/p][p]"", ""[font_size=15]\n\n[/font_size]""), ""[br/]"", ""\n"")"),"")</f>
        <v/>
      </c>
      <c r="W140" s="6" t="str">
        <f t="shared" si="11"/>
        <v>[i][/i]</v>
      </c>
      <c r="X140" s="1" t="str">
        <f t="shared" si="12"/>
        <v>0</v>
      </c>
      <c r="Y140" s="1"/>
    </row>
    <row r="141">
      <c r="A141" s="7" t="s">
        <v>75</v>
      </c>
      <c r="B141" s="6" t="str">
        <f t="shared" si="9"/>
        <v>U</v>
      </c>
      <c r="C141" s="8"/>
      <c r="D141" s="9" t="str">
        <f>IFERROR(__xludf.DUMMYFUNCTION("IF(ISBLANK(A141),"""",SWITCH(IF(T141="""",0,COUNTA(SPLIT(T141,"" ""))),0,""Generic"",1,TRIM(T141),2,""Multicolor"",3,""Multicolor"",4,""Multicolor"",5,""Multicolor"",6,""Multicolor"",7,""Multicolor"",8,""Multicolor""))"),"Generic")</f>
        <v>Generic</v>
      </c>
      <c r="E141" s="1"/>
      <c r="F141" s="1"/>
      <c r="H141" s="10"/>
      <c r="I141" s="11"/>
      <c r="J141" s="11"/>
      <c r="K141" s="6" t="s">
        <v>39</v>
      </c>
      <c r="L141" s="6" t="s">
        <v>39</v>
      </c>
      <c r="Q141" s="7">
        <v>60</v>
      </c>
      <c r="R141" s="7">
        <v>50</v>
      </c>
      <c r="S141" s="1" t="str">
        <f t="shared" si="10"/>
        <v>False</v>
      </c>
      <c r="T141" s="6" t="str">
        <f>IFERROR(__xludf.DUMMYFUNCTION("CONCATENATE(if(REGEXMATCH(C141,""R""),"" Red"",""""),if(REGEXMATCH(C141,""O""),"" Orange"",""""),if(REGEXMATCH(C141,""Y""),"" Yellow"",""""),if(REGEXMATCH(C141,""G""),"" Green"",""""),if(REGEXMATCH(C141,""B""),"" Blue"",""""),if(REGEXMATCH(C141,""P""),"" "&amp;"Purple"",""""))"),"")</f>
        <v/>
      </c>
      <c r="U141" s="6" t="str">
        <f>IFERROR(__xludf.DUMMYFUNCTION("TRIM(CONCAT(""[right]"", REGEXREPLACE(C141, ""([ROYGBPXZC_]|1?[0-9])"", ""[img=119]res://textures/icons/$0.png[/img]\\n"")))"),"[right]")</f>
        <v>[right]</v>
      </c>
      <c r="V141" s="1" t="str">
        <f>IFERROR(__xludf.DUMMYFUNCTION("SUBSTITUTE(SUBSTITUTE(SUBSTITUTE(SUBSTITUTE(REGEXREPLACE(SUBSTITUTE(SUBSTITUTE(SUBSTITUTE(SUBSTITUTE(REGEXREPLACE(I141, ""(\[([ROYGBPTQUXZC_]|1?[0-9])\])"", ""[img=45]res://textures/icons/$2.png[/img]""),""--"",""—""),""-&gt;"",""•""),""~@"", CONCATENATE(""["&amp;"i]"",REGEXEXTRACT(B141,""^([\s\S]*),|$""),""[/i]"")),""~"", CONCATENATE(""[i]"",B141,""[/i]"")),""(\([\s\S]*?\))"",""[i][color=#34343A]$0[/color][/i]""), ""&lt;"", ""[""), ""&gt;"", ""]""), ""[/p][p]"", ""[font_size=15]\n\n[/font_size]""), ""[br/]"", ""\n"")"),"")</f>
        <v/>
      </c>
      <c r="W141" s="6" t="str">
        <f t="shared" si="11"/>
        <v>[i][/i]</v>
      </c>
      <c r="X141" s="1" t="str">
        <f t="shared" si="12"/>
        <v>0</v>
      </c>
      <c r="Y141" s="1"/>
    </row>
    <row r="142">
      <c r="A142" s="7" t="s">
        <v>75</v>
      </c>
      <c r="B142" s="6" t="str">
        <f t="shared" si="9"/>
        <v>U</v>
      </c>
      <c r="C142" s="8"/>
      <c r="D142" s="9" t="str">
        <f>IFERROR(__xludf.DUMMYFUNCTION("IF(ISBLANK(A142),"""",SWITCH(IF(T142="""",0,COUNTA(SPLIT(T142,"" ""))),0,""Generic"",1,TRIM(T142),2,""Multicolor"",3,""Multicolor"",4,""Multicolor"",5,""Multicolor"",6,""Multicolor"",7,""Multicolor"",8,""Multicolor""))"),"Generic")</f>
        <v>Generic</v>
      </c>
      <c r="E142" s="1"/>
      <c r="F142" s="1"/>
      <c r="H142" s="10"/>
      <c r="I142" s="11"/>
      <c r="J142" s="11"/>
      <c r="K142" s="6" t="s">
        <v>39</v>
      </c>
      <c r="L142" s="6" t="s">
        <v>39</v>
      </c>
      <c r="Q142" s="7">
        <v>60</v>
      </c>
      <c r="R142" s="7">
        <v>50</v>
      </c>
      <c r="S142" s="1" t="str">
        <f t="shared" si="10"/>
        <v>False</v>
      </c>
      <c r="T142" s="6" t="str">
        <f>IFERROR(__xludf.DUMMYFUNCTION("CONCATENATE(if(REGEXMATCH(C142,""R""),"" Red"",""""),if(REGEXMATCH(C142,""O""),"" Orange"",""""),if(REGEXMATCH(C142,""Y""),"" Yellow"",""""),if(REGEXMATCH(C142,""G""),"" Green"",""""),if(REGEXMATCH(C142,""B""),"" Blue"",""""),if(REGEXMATCH(C142,""P""),"" "&amp;"Purple"",""""))"),"")</f>
        <v/>
      </c>
      <c r="U142" s="6" t="str">
        <f>IFERROR(__xludf.DUMMYFUNCTION("TRIM(CONCAT(""[right]"", REGEXREPLACE(C142, ""([ROYGBPXZC_]|1?[0-9])"", ""[img=119]res://textures/icons/$0.png[/img]\\n"")))"),"[right]")</f>
        <v>[right]</v>
      </c>
      <c r="V142" s="1" t="str">
        <f>IFERROR(__xludf.DUMMYFUNCTION("SUBSTITUTE(SUBSTITUTE(SUBSTITUTE(SUBSTITUTE(REGEXREPLACE(SUBSTITUTE(SUBSTITUTE(SUBSTITUTE(SUBSTITUTE(REGEXREPLACE(I142, ""(\[([ROYGBPTQUXZC_]|1?[0-9])\])"", ""[img=45]res://textures/icons/$2.png[/img]""),""--"",""—""),""-&gt;"",""•""),""~@"", CONCATENATE(""["&amp;"i]"",REGEXEXTRACT(B142,""^([\s\S]*),|$""),""[/i]"")),""~"", CONCATENATE(""[i]"",B142,""[/i]"")),""(\([\s\S]*?\))"",""[i][color=#34343A]$0[/color][/i]""), ""&lt;"", ""[""), ""&gt;"", ""]""), ""[/p][p]"", ""[font_size=15]\n\n[/font_size]""), ""[br/]"", ""\n"")"),"")</f>
        <v/>
      </c>
      <c r="W142" s="6" t="str">
        <f t="shared" si="11"/>
        <v>[i][/i]</v>
      </c>
      <c r="X142" s="1" t="str">
        <f t="shared" si="12"/>
        <v>0</v>
      </c>
      <c r="Y142" s="1"/>
    </row>
    <row r="143">
      <c r="A143" s="7" t="s">
        <v>75</v>
      </c>
      <c r="B143" s="6" t="str">
        <f t="shared" si="9"/>
        <v>U</v>
      </c>
      <c r="C143" s="8"/>
      <c r="D143" s="9" t="str">
        <f>IFERROR(__xludf.DUMMYFUNCTION("IF(ISBLANK(A143),"""",SWITCH(IF(T143="""",0,COUNTA(SPLIT(T143,"" ""))),0,""Generic"",1,TRIM(T143),2,""Multicolor"",3,""Multicolor"",4,""Multicolor"",5,""Multicolor"",6,""Multicolor"",7,""Multicolor"",8,""Multicolor""))"),"Generic")</f>
        <v>Generic</v>
      </c>
      <c r="E143" s="1"/>
      <c r="F143" s="1"/>
      <c r="H143" s="10"/>
      <c r="I143" s="11"/>
      <c r="J143" s="11"/>
      <c r="K143" s="6" t="s">
        <v>39</v>
      </c>
      <c r="L143" s="6" t="s">
        <v>39</v>
      </c>
      <c r="Q143" s="7">
        <v>60</v>
      </c>
      <c r="R143" s="7">
        <v>50</v>
      </c>
      <c r="S143" s="1" t="str">
        <f t="shared" si="10"/>
        <v>False</v>
      </c>
      <c r="T143" s="6" t="str">
        <f>IFERROR(__xludf.DUMMYFUNCTION("CONCATENATE(if(REGEXMATCH(C143,""R""),"" Red"",""""),if(REGEXMATCH(C143,""O""),"" Orange"",""""),if(REGEXMATCH(C143,""Y""),"" Yellow"",""""),if(REGEXMATCH(C143,""G""),"" Green"",""""),if(REGEXMATCH(C143,""B""),"" Blue"",""""),if(REGEXMATCH(C143,""P""),"" "&amp;"Purple"",""""))"),"")</f>
        <v/>
      </c>
      <c r="U143" s="6" t="str">
        <f>IFERROR(__xludf.DUMMYFUNCTION("TRIM(CONCAT(""[right]"", REGEXREPLACE(C143, ""([ROYGBPXZC_]|1?[0-9])"", ""[img=119]res://textures/icons/$0.png[/img]\\n"")))"),"[right]")</f>
        <v>[right]</v>
      </c>
      <c r="V143" s="1" t="str">
        <f>IFERROR(__xludf.DUMMYFUNCTION("SUBSTITUTE(SUBSTITUTE(SUBSTITUTE(SUBSTITUTE(REGEXREPLACE(SUBSTITUTE(SUBSTITUTE(SUBSTITUTE(SUBSTITUTE(REGEXREPLACE(I143, ""(\[([ROYGBPTQUXZC_]|1?[0-9])\])"", ""[img=45]res://textures/icons/$2.png[/img]""),""--"",""—""),""-&gt;"",""•""),""~@"", CONCATENATE(""["&amp;"i]"",REGEXEXTRACT(B143,""^([\s\S]*),|$""),""[/i]"")),""~"", CONCATENATE(""[i]"",B143,""[/i]"")),""(\([\s\S]*?\))"",""[i][color=#34343A]$0[/color][/i]""), ""&lt;"", ""[""), ""&gt;"", ""]""), ""[/p][p]"", ""[font_size=15]\n\n[/font_size]""), ""[br/]"", ""\n"")"),"")</f>
        <v/>
      </c>
      <c r="W143" s="6" t="str">
        <f t="shared" si="11"/>
        <v>[i][/i]</v>
      </c>
      <c r="X143" s="1" t="str">
        <f t="shared" si="12"/>
        <v>0</v>
      </c>
      <c r="Y143" s="1"/>
    </row>
    <row r="144">
      <c r="A144" s="7" t="s">
        <v>75</v>
      </c>
      <c r="B144" s="6" t="str">
        <f t="shared" si="9"/>
        <v>U</v>
      </c>
      <c r="C144" s="8"/>
      <c r="D144" s="9" t="str">
        <f>IFERROR(__xludf.DUMMYFUNCTION("IF(ISBLANK(A144),"""",SWITCH(IF(T144="""",0,COUNTA(SPLIT(T144,"" ""))),0,""Generic"",1,TRIM(T144),2,""Multicolor"",3,""Multicolor"",4,""Multicolor"",5,""Multicolor"",6,""Multicolor"",7,""Multicolor"",8,""Multicolor""))"),"Generic")</f>
        <v>Generic</v>
      </c>
      <c r="E144" s="1"/>
      <c r="F144" s="1"/>
      <c r="H144" s="10"/>
      <c r="I144" s="11"/>
      <c r="J144" s="11"/>
      <c r="K144" s="6" t="s">
        <v>39</v>
      </c>
      <c r="L144" s="6" t="s">
        <v>39</v>
      </c>
      <c r="Q144" s="7">
        <v>60</v>
      </c>
      <c r="R144" s="7">
        <v>50</v>
      </c>
      <c r="S144" s="1" t="str">
        <f t="shared" si="10"/>
        <v>False</v>
      </c>
      <c r="T144" s="6" t="str">
        <f>IFERROR(__xludf.DUMMYFUNCTION("CONCATENATE(if(REGEXMATCH(C144,""R""),"" Red"",""""),if(REGEXMATCH(C144,""O""),"" Orange"",""""),if(REGEXMATCH(C144,""Y""),"" Yellow"",""""),if(REGEXMATCH(C144,""G""),"" Green"",""""),if(REGEXMATCH(C144,""B""),"" Blue"",""""),if(REGEXMATCH(C144,""P""),"" "&amp;"Purple"",""""))"),"")</f>
        <v/>
      </c>
      <c r="U144" s="6" t="str">
        <f>IFERROR(__xludf.DUMMYFUNCTION("TRIM(CONCAT(""[right]"", REGEXREPLACE(C144, ""([ROYGBPXZC_]|1?[0-9])"", ""[img=119]res://textures/icons/$0.png[/img]\\n"")))"),"[right]")</f>
        <v>[right]</v>
      </c>
      <c r="V144" s="1" t="str">
        <f>IFERROR(__xludf.DUMMYFUNCTION("SUBSTITUTE(SUBSTITUTE(SUBSTITUTE(SUBSTITUTE(REGEXREPLACE(SUBSTITUTE(SUBSTITUTE(SUBSTITUTE(SUBSTITUTE(REGEXREPLACE(I144, ""(\[([ROYGBPTQUXZC_]|1?[0-9])\])"", ""[img=45]res://textures/icons/$2.png[/img]""),""--"",""—""),""-&gt;"",""•""),""~@"", CONCATENATE(""["&amp;"i]"",REGEXEXTRACT(B144,""^([\s\S]*),|$""),""[/i]"")),""~"", CONCATENATE(""[i]"",B144,""[/i]"")),""(\([\s\S]*?\))"",""[i][color=#34343A]$0[/color][/i]""), ""&lt;"", ""[""), ""&gt;"", ""]""), ""[/p][p]"", ""[font_size=15]\n\n[/font_size]""), ""[br/]"", ""\n"")"),"")</f>
        <v/>
      </c>
      <c r="W144" s="6" t="str">
        <f t="shared" si="11"/>
        <v>[i][/i]</v>
      </c>
      <c r="X144" s="1" t="str">
        <f t="shared" si="12"/>
        <v>0</v>
      </c>
      <c r="Y144" s="1"/>
    </row>
    <row r="145">
      <c r="A145" s="7" t="s">
        <v>75</v>
      </c>
      <c r="B145" s="6" t="str">
        <f t="shared" si="9"/>
        <v>U</v>
      </c>
      <c r="C145" s="8"/>
      <c r="D145" s="9" t="str">
        <f>IFERROR(__xludf.DUMMYFUNCTION("IF(ISBLANK(A145),"""",SWITCH(IF(T145="""",0,COUNTA(SPLIT(T145,"" ""))),0,""Generic"",1,TRIM(T145),2,""Multicolor"",3,""Multicolor"",4,""Multicolor"",5,""Multicolor"",6,""Multicolor"",7,""Multicolor"",8,""Multicolor""))"),"Generic")</f>
        <v>Generic</v>
      </c>
      <c r="E145" s="1"/>
      <c r="F145" s="1"/>
      <c r="H145" s="10"/>
      <c r="I145" s="11"/>
      <c r="J145" s="11"/>
      <c r="K145" s="6" t="s">
        <v>39</v>
      </c>
      <c r="L145" s="6" t="s">
        <v>39</v>
      </c>
      <c r="Q145" s="7">
        <v>60</v>
      </c>
      <c r="R145" s="7">
        <v>50</v>
      </c>
      <c r="S145" s="1" t="str">
        <f t="shared" si="10"/>
        <v>False</v>
      </c>
      <c r="T145" s="6" t="str">
        <f>IFERROR(__xludf.DUMMYFUNCTION("CONCATENATE(if(REGEXMATCH(C145,""R""),"" Red"",""""),if(REGEXMATCH(C145,""O""),"" Orange"",""""),if(REGEXMATCH(C145,""Y""),"" Yellow"",""""),if(REGEXMATCH(C145,""G""),"" Green"",""""),if(REGEXMATCH(C145,""B""),"" Blue"",""""),if(REGEXMATCH(C145,""P""),"" "&amp;"Purple"",""""))"),"")</f>
        <v/>
      </c>
      <c r="U145" s="6" t="str">
        <f>IFERROR(__xludf.DUMMYFUNCTION("TRIM(CONCAT(""[right]"", REGEXREPLACE(C145, ""([ROYGBPXZC_]|1?[0-9])"", ""[img=119]res://textures/icons/$0.png[/img]\\n"")))"),"[right]")</f>
        <v>[right]</v>
      </c>
      <c r="V145" s="1" t="str">
        <f>IFERROR(__xludf.DUMMYFUNCTION("SUBSTITUTE(SUBSTITUTE(SUBSTITUTE(SUBSTITUTE(REGEXREPLACE(SUBSTITUTE(SUBSTITUTE(SUBSTITUTE(SUBSTITUTE(REGEXREPLACE(I145, ""(\[([ROYGBPTQUXZC_]|1?[0-9])\])"", ""[img=45]res://textures/icons/$2.png[/img]""),""--"",""—""),""-&gt;"",""•""),""~@"", CONCATENATE(""["&amp;"i]"",REGEXEXTRACT(B145,""^([\s\S]*),|$""),""[/i]"")),""~"", CONCATENATE(""[i]"",B145,""[/i]"")),""(\([\s\S]*?\))"",""[i][color=#34343A]$0[/color][/i]""), ""&lt;"", ""[""), ""&gt;"", ""]""), ""[/p][p]"", ""[font_size=15]\n\n[/font_size]""), ""[br/]"", ""\n"")"),"")</f>
        <v/>
      </c>
      <c r="W145" s="6" t="str">
        <f t="shared" si="11"/>
        <v>[i][/i]</v>
      </c>
      <c r="X145" s="1" t="str">
        <f t="shared" si="12"/>
        <v>0</v>
      </c>
      <c r="Y145" s="1"/>
    </row>
    <row r="146">
      <c r="A146" s="7" t="s">
        <v>76</v>
      </c>
      <c r="B146" s="6" t="str">
        <f t="shared" si="9"/>
        <v>C</v>
      </c>
      <c r="C146" s="8"/>
      <c r="D146" s="9" t="str">
        <f>IFERROR(__xludf.DUMMYFUNCTION("IF(ISBLANK(A146),"""",SWITCH(IF(T146="""",0,COUNTA(SPLIT(T146,"" ""))),0,""Generic"",1,TRIM(T146),2,""Multicolor"",3,""Multicolor"",4,""Multicolor"",5,""Multicolor"",6,""Multicolor"",7,""Multicolor"",8,""Multicolor""))"),"Generic")</f>
        <v>Generic</v>
      </c>
      <c r="E146" s="1"/>
      <c r="F146" s="1"/>
      <c r="H146" s="10"/>
      <c r="I146" s="11"/>
      <c r="J146" s="11"/>
      <c r="K146" s="6" t="s">
        <v>39</v>
      </c>
      <c r="L146" s="6" t="s">
        <v>39</v>
      </c>
      <c r="Q146" s="7">
        <v>60</v>
      </c>
      <c r="R146" s="7">
        <v>50</v>
      </c>
      <c r="S146" s="1" t="str">
        <f t="shared" si="10"/>
        <v>False</v>
      </c>
      <c r="T146" s="6" t="str">
        <f>IFERROR(__xludf.DUMMYFUNCTION("CONCATENATE(if(REGEXMATCH(C146,""R""),"" Red"",""""),if(REGEXMATCH(C146,""O""),"" Orange"",""""),if(REGEXMATCH(C146,""Y""),"" Yellow"",""""),if(REGEXMATCH(C146,""G""),"" Green"",""""),if(REGEXMATCH(C146,""B""),"" Blue"",""""),if(REGEXMATCH(C146,""P""),"" "&amp;"Purple"",""""))"),"")</f>
        <v/>
      </c>
      <c r="U146" s="6" t="str">
        <f>IFERROR(__xludf.DUMMYFUNCTION("TRIM(CONCAT(""[right]"", REGEXREPLACE(C146, ""([ROYGBPXZC_]|1?[0-9])"", ""[img=119]res://textures/icons/$0.png[/img]\\n"")))"),"[right]")</f>
        <v>[right]</v>
      </c>
      <c r="V146" s="1" t="str">
        <f>IFERROR(__xludf.DUMMYFUNCTION("SUBSTITUTE(SUBSTITUTE(SUBSTITUTE(SUBSTITUTE(REGEXREPLACE(SUBSTITUTE(SUBSTITUTE(SUBSTITUTE(SUBSTITUTE(REGEXREPLACE(I146, ""(\[([ROYGBPTQUXZC_]|1?[0-9])\])"", ""[img=45]res://textures/icons/$2.png[/img]""),""--"",""—""),""-&gt;"",""•""),""~@"", CONCATENATE(""["&amp;"i]"",REGEXEXTRACT(B146,""^([\s\S]*),|$""),""[/i]"")),""~"", CONCATENATE(""[i]"",B146,""[/i]"")),""(\([\s\S]*?\))"",""[i][color=#34343A]$0[/color][/i]""), ""&lt;"", ""[""), ""&gt;"", ""]""), ""[/p][p]"", ""[font_size=15]\n\n[/font_size]""), ""[br/]"", ""\n"")"),"")</f>
        <v/>
      </c>
      <c r="W146" s="6" t="str">
        <f t="shared" si="11"/>
        <v>[i][/i]</v>
      </c>
      <c r="X146" s="1" t="str">
        <f t="shared" si="12"/>
        <v>0</v>
      </c>
      <c r="Y146" s="1"/>
    </row>
    <row r="147">
      <c r="A147" s="7" t="s">
        <v>76</v>
      </c>
      <c r="B147" s="6" t="str">
        <f t="shared" si="9"/>
        <v>C</v>
      </c>
      <c r="C147" s="8"/>
      <c r="D147" s="9" t="str">
        <f>IFERROR(__xludf.DUMMYFUNCTION("IF(ISBLANK(A147),"""",SWITCH(IF(T147="""",0,COUNTA(SPLIT(T147,"" ""))),0,""Generic"",1,TRIM(T147),2,""Multicolor"",3,""Multicolor"",4,""Multicolor"",5,""Multicolor"",6,""Multicolor"",7,""Multicolor"",8,""Multicolor""))"),"Generic")</f>
        <v>Generic</v>
      </c>
      <c r="E147" s="1"/>
      <c r="F147" s="1"/>
      <c r="H147" s="10"/>
      <c r="I147" s="11"/>
      <c r="J147" s="11"/>
      <c r="K147" s="6" t="s">
        <v>39</v>
      </c>
      <c r="L147" s="6" t="s">
        <v>39</v>
      </c>
      <c r="Q147" s="7">
        <v>60</v>
      </c>
      <c r="R147" s="7">
        <v>50</v>
      </c>
      <c r="S147" s="1" t="str">
        <f t="shared" si="10"/>
        <v>False</v>
      </c>
      <c r="T147" s="6" t="str">
        <f>IFERROR(__xludf.DUMMYFUNCTION("CONCATENATE(if(REGEXMATCH(C147,""R""),"" Red"",""""),if(REGEXMATCH(C147,""O""),"" Orange"",""""),if(REGEXMATCH(C147,""Y""),"" Yellow"",""""),if(REGEXMATCH(C147,""G""),"" Green"",""""),if(REGEXMATCH(C147,""B""),"" Blue"",""""),if(REGEXMATCH(C147,""P""),"" "&amp;"Purple"",""""))"),"")</f>
        <v/>
      </c>
      <c r="U147" s="6" t="str">
        <f>IFERROR(__xludf.DUMMYFUNCTION("TRIM(CONCAT(""[right]"", REGEXREPLACE(C147, ""([ROYGBPXZC_]|1?[0-9])"", ""[img=119]res://textures/icons/$0.png[/img]\\n"")))"),"[right]")</f>
        <v>[right]</v>
      </c>
      <c r="V147" s="1" t="str">
        <f>IFERROR(__xludf.DUMMYFUNCTION("SUBSTITUTE(SUBSTITUTE(SUBSTITUTE(SUBSTITUTE(REGEXREPLACE(SUBSTITUTE(SUBSTITUTE(SUBSTITUTE(SUBSTITUTE(REGEXREPLACE(I147, ""(\[([ROYGBPTQUXZC_]|1?[0-9])\])"", ""[img=45]res://textures/icons/$2.png[/img]""),""--"",""—""),""-&gt;"",""•""),""~@"", CONCATENATE(""["&amp;"i]"",REGEXEXTRACT(B147,""^([\s\S]*),|$""),""[/i]"")),""~"", CONCATENATE(""[i]"",B147,""[/i]"")),""(\([\s\S]*?\))"",""[i][color=#34343A]$0[/color][/i]""), ""&lt;"", ""[""), ""&gt;"", ""]""), ""[/p][p]"", ""[font_size=15]\n\n[/font_size]""), ""[br/]"", ""\n"")"),"")</f>
        <v/>
      </c>
      <c r="W147" s="6" t="str">
        <f t="shared" si="11"/>
        <v>[i][/i]</v>
      </c>
      <c r="X147" s="1" t="str">
        <f t="shared" si="12"/>
        <v>0</v>
      </c>
      <c r="Y147" s="1"/>
    </row>
    <row r="148">
      <c r="A148" s="7" t="s">
        <v>76</v>
      </c>
      <c r="B148" s="6" t="str">
        <f t="shared" si="9"/>
        <v>C</v>
      </c>
      <c r="C148" s="8"/>
      <c r="D148" s="9" t="str">
        <f>IFERROR(__xludf.DUMMYFUNCTION("IF(ISBLANK(A148),"""",SWITCH(IF(T148="""",0,COUNTA(SPLIT(T148,"" ""))),0,""Generic"",1,TRIM(T148),2,""Multicolor"",3,""Multicolor"",4,""Multicolor"",5,""Multicolor"",6,""Multicolor"",7,""Multicolor"",8,""Multicolor""))"),"Generic")</f>
        <v>Generic</v>
      </c>
      <c r="E148" s="1"/>
      <c r="F148" s="1"/>
      <c r="H148" s="10"/>
      <c r="I148" s="11"/>
      <c r="J148" s="11"/>
      <c r="K148" s="6" t="s">
        <v>39</v>
      </c>
      <c r="L148" s="6" t="s">
        <v>39</v>
      </c>
      <c r="Q148" s="7">
        <v>60</v>
      </c>
      <c r="R148" s="7">
        <v>50</v>
      </c>
      <c r="S148" s="1" t="str">
        <f t="shared" si="10"/>
        <v>False</v>
      </c>
      <c r="T148" s="6" t="str">
        <f>IFERROR(__xludf.DUMMYFUNCTION("CONCATENATE(if(REGEXMATCH(C148,""R""),"" Red"",""""),if(REGEXMATCH(C148,""O""),"" Orange"",""""),if(REGEXMATCH(C148,""Y""),"" Yellow"",""""),if(REGEXMATCH(C148,""G""),"" Green"",""""),if(REGEXMATCH(C148,""B""),"" Blue"",""""),if(REGEXMATCH(C148,""P""),"" "&amp;"Purple"",""""))"),"")</f>
        <v/>
      </c>
      <c r="U148" s="6" t="str">
        <f>IFERROR(__xludf.DUMMYFUNCTION("TRIM(CONCAT(""[right]"", REGEXREPLACE(C148, ""([ROYGBPXZC_]|1?[0-9])"", ""[img=119]res://textures/icons/$0.png[/img]\\n"")))"),"[right]")</f>
        <v>[right]</v>
      </c>
      <c r="V148" s="1" t="str">
        <f>IFERROR(__xludf.DUMMYFUNCTION("SUBSTITUTE(SUBSTITUTE(SUBSTITUTE(SUBSTITUTE(REGEXREPLACE(SUBSTITUTE(SUBSTITUTE(SUBSTITUTE(SUBSTITUTE(REGEXREPLACE(I148, ""(\[([ROYGBPTQUXZC_]|1?[0-9])\])"", ""[img=45]res://textures/icons/$2.png[/img]""),""--"",""—""),""-&gt;"",""•""),""~@"", CONCATENATE(""["&amp;"i]"",REGEXEXTRACT(B148,""^([\s\S]*),|$""),""[/i]"")),""~"", CONCATENATE(""[i]"",B148,""[/i]"")),""(\([\s\S]*?\))"",""[i][color=#34343A]$0[/color][/i]""), ""&lt;"", ""[""), ""&gt;"", ""]""), ""[/p][p]"", ""[font_size=15]\n\n[/font_size]""), ""[br/]"", ""\n"")"),"")</f>
        <v/>
      </c>
      <c r="W148" s="6" t="str">
        <f t="shared" si="11"/>
        <v>[i][/i]</v>
      </c>
      <c r="X148" s="1" t="str">
        <f t="shared" si="12"/>
        <v>0</v>
      </c>
      <c r="Y148" s="1"/>
    </row>
    <row r="149">
      <c r="A149" s="7" t="s">
        <v>76</v>
      </c>
      <c r="B149" s="6" t="str">
        <f t="shared" si="9"/>
        <v>C</v>
      </c>
      <c r="C149" s="8"/>
      <c r="D149" s="9" t="str">
        <f>IFERROR(__xludf.DUMMYFUNCTION("IF(ISBLANK(A149),"""",SWITCH(IF(T149="""",0,COUNTA(SPLIT(T149,"" ""))),0,""Generic"",1,TRIM(T149),2,""Multicolor"",3,""Multicolor"",4,""Multicolor"",5,""Multicolor"",6,""Multicolor"",7,""Multicolor"",8,""Multicolor""))"),"Generic")</f>
        <v>Generic</v>
      </c>
      <c r="E149" s="1"/>
      <c r="F149" s="1"/>
      <c r="H149" s="10"/>
      <c r="I149" s="11"/>
      <c r="J149" s="11"/>
      <c r="K149" s="6" t="s">
        <v>39</v>
      </c>
      <c r="L149" s="6" t="s">
        <v>39</v>
      </c>
      <c r="Q149" s="7">
        <v>60</v>
      </c>
      <c r="R149" s="7">
        <v>50</v>
      </c>
      <c r="S149" s="1" t="str">
        <f t="shared" si="10"/>
        <v>False</v>
      </c>
      <c r="T149" s="6" t="str">
        <f>IFERROR(__xludf.DUMMYFUNCTION("CONCATENATE(if(REGEXMATCH(C149,""R""),"" Red"",""""),if(REGEXMATCH(C149,""O""),"" Orange"",""""),if(REGEXMATCH(C149,""Y""),"" Yellow"",""""),if(REGEXMATCH(C149,""G""),"" Green"",""""),if(REGEXMATCH(C149,""B""),"" Blue"",""""),if(REGEXMATCH(C149,""P""),"" "&amp;"Purple"",""""))"),"")</f>
        <v/>
      </c>
      <c r="U149" s="6" t="str">
        <f>IFERROR(__xludf.DUMMYFUNCTION("TRIM(CONCAT(""[right]"", REGEXREPLACE(C149, ""([ROYGBPXZC_]|1?[0-9])"", ""[img=119]res://textures/icons/$0.png[/img]\\n"")))"),"[right]")</f>
        <v>[right]</v>
      </c>
      <c r="V149" s="1" t="str">
        <f>IFERROR(__xludf.DUMMYFUNCTION("SUBSTITUTE(SUBSTITUTE(SUBSTITUTE(SUBSTITUTE(REGEXREPLACE(SUBSTITUTE(SUBSTITUTE(SUBSTITUTE(SUBSTITUTE(REGEXREPLACE(I149, ""(\[([ROYGBPTQUXZC_]|1?[0-9])\])"", ""[img=45]res://textures/icons/$2.png[/img]""),""--"",""—""),""-&gt;"",""•""),""~@"", CONCATENATE(""["&amp;"i]"",REGEXEXTRACT(B149,""^([\s\S]*),|$""),""[/i]"")),""~"", CONCATENATE(""[i]"",B149,""[/i]"")),""(\([\s\S]*?\))"",""[i][color=#34343A]$0[/color][/i]""), ""&lt;"", ""[""), ""&gt;"", ""]""), ""[/p][p]"", ""[font_size=15]\n\n[/font_size]""), ""[br/]"", ""\n"")"),"")</f>
        <v/>
      </c>
      <c r="W149" s="6" t="str">
        <f t="shared" si="11"/>
        <v>[i][/i]</v>
      </c>
      <c r="X149" s="1" t="str">
        <f t="shared" si="12"/>
        <v>0</v>
      </c>
      <c r="Y149" s="1"/>
    </row>
    <row r="150">
      <c r="A150" s="7" t="s">
        <v>76</v>
      </c>
      <c r="B150" s="6" t="str">
        <f t="shared" si="9"/>
        <v>C</v>
      </c>
      <c r="C150" s="8"/>
      <c r="D150" s="9" t="str">
        <f>IFERROR(__xludf.DUMMYFUNCTION("IF(ISBLANK(A150),"""",SWITCH(IF(T150="""",0,COUNTA(SPLIT(T150,"" ""))),0,""Generic"",1,TRIM(T150),2,""Multicolor"",3,""Multicolor"",4,""Multicolor"",5,""Multicolor"",6,""Multicolor"",7,""Multicolor"",8,""Multicolor""))"),"Generic")</f>
        <v>Generic</v>
      </c>
      <c r="E150" s="1"/>
      <c r="F150" s="1"/>
      <c r="H150" s="10"/>
      <c r="I150" s="11"/>
      <c r="J150" s="11"/>
      <c r="K150" s="6" t="s">
        <v>39</v>
      </c>
      <c r="L150" s="6" t="s">
        <v>39</v>
      </c>
      <c r="Q150" s="7">
        <v>60</v>
      </c>
      <c r="R150" s="7">
        <v>50</v>
      </c>
      <c r="S150" s="1" t="str">
        <f t="shared" si="10"/>
        <v>False</v>
      </c>
      <c r="T150" s="6" t="str">
        <f>IFERROR(__xludf.DUMMYFUNCTION("CONCATENATE(if(REGEXMATCH(C150,""R""),"" Red"",""""),if(REGEXMATCH(C150,""O""),"" Orange"",""""),if(REGEXMATCH(C150,""Y""),"" Yellow"",""""),if(REGEXMATCH(C150,""G""),"" Green"",""""),if(REGEXMATCH(C150,""B""),"" Blue"",""""),if(REGEXMATCH(C150,""P""),"" "&amp;"Purple"",""""))"),"")</f>
        <v/>
      </c>
      <c r="U150" s="6" t="str">
        <f>IFERROR(__xludf.DUMMYFUNCTION("TRIM(CONCAT(""[right]"", REGEXREPLACE(C150, ""([ROYGBPXZC_]|1?[0-9])"", ""[img=119]res://textures/icons/$0.png[/img]\\n"")))"),"[right]")</f>
        <v>[right]</v>
      </c>
      <c r="V150" s="1" t="str">
        <f>IFERROR(__xludf.DUMMYFUNCTION("SUBSTITUTE(SUBSTITUTE(SUBSTITUTE(SUBSTITUTE(REGEXREPLACE(SUBSTITUTE(SUBSTITUTE(SUBSTITUTE(SUBSTITUTE(REGEXREPLACE(I150, ""(\[([ROYGBPTQUXZC_]|1?[0-9])\])"", ""[img=45]res://textures/icons/$2.png[/img]""),""--"",""—""),""-&gt;"",""•""),""~@"", CONCATENATE(""["&amp;"i]"",REGEXEXTRACT(B150,""^([\s\S]*),|$""),""[/i]"")),""~"", CONCATENATE(""[i]"",B150,""[/i]"")),""(\([\s\S]*?\))"",""[i][color=#34343A]$0[/color][/i]""), ""&lt;"", ""[""), ""&gt;"", ""]""), ""[/p][p]"", ""[font_size=15]\n\n[/font_size]""), ""[br/]"", ""\n"")"),"")</f>
        <v/>
      </c>
      <c r="W150" s="6" t="str">
        <f t="shared" si="11"/>
        <v>[i][/i]</v>
      </c>
      <c r="X150" s="1" t="str">
        <f t="shared" si="12"/>
        <v>0</v>
      </c>
      <c r="Y150" s="1"/>
    </row>
    <row r="151">
      <c r="A151" s="7" t="s">
        <v>76</v>
      </c>
      <c r="B151" s="6" t="str">
        <f t="shared" si="9"/>
        <v>C</v>
      </c>
      <c r="C151" s="8"/>
      <c r="D151" s="9" t="str">
        <f>IFERROR(__xludf.DUMMYFUNCTION("IF(ISBLANK(A151),"""",SWITCH(IF(T151="""",0,COUNTA(SPLIT(T151,"" ""))),0,""Generic"",1,TRIM(T151),2,""Multicolor"",3,""Multicolor"",4,""Multicolor"",5,""Multicolor"",6,""Multicolor"",7,""Multicolor"",8,""Multicolor""))"),"Generic")</f>
        <v>Generic</v>
      </c>
      <c r="E151" s="1"/>
      <c r="F151" s="1"/>
      <c r="H151" s="10"/>
      <c r="I151" s="11"/>
      <c r="J151" s="11"/>
      <c r="K151" s="6" t="s">
        <v>39</v>
      </c>
      <c r="L151" s="6" t="s">
        <v>39</v>
      </c>
      <c r="Q151" s="7">
        <v>60</v>
      </c>
      <c r="R151" s="7">
        <v>50</v>
      </c>
      <c r="S151" s="1" t="str">
        <f t="shared" si="10"/>
        <v>False</v>
      </c>
      <c r="T151" s="6" t="str">
        <f>IFERROR(__xludf.DUMMYFUNCTION("CONCATENATE(if(REGEXMATCH(C151,""R""),"" Red"",""""),if(REGEXMATCH(C151,""O""),"" Orange"",""""),if(REGEXMATCH(C151,""Y""),"" Yellow"",""""),if(REGEXMATCH(C151,""G""),"" Green"",""""),if(REGEXMATCH(C151,""B""),"" Blue"",""""),if(REGEXMATCH(C151,""P""),"" "&amp;"Purple"",""""))"),"")</f>
        <v/>
      </c>
      <c r="U151" s="6" t="str">
        <f>IFERROR(__xludf.DUMMYFUNCTION("TRIM(CONCAT(""[right]"", REGEXREPLACE(C151, ""([ROYGBPXZC_]|1?[0-9])"", ""[img=119]res://textures/icons/$0.png[/img]\\n"")))"),"[right]")</f>
        <v>[right]</v>
      </c>
      <c r="V151" s="1" t="str">
        <f>IFERROR(__xludf.DUMMYFUNCTION("SUBSTITUTE(SUBSTITUTE(SUBSTITUTE(SUBSTITUTE(REGEXREPLACE(SUBSTITUTE(SUBSTITUTE(SUBSTITUTE(SUBSTITUTE(REGEXREPLACE(I151, ""(\[([ROYGBPTQUXZC_]|1?[0-9])\])"", ""[img=45]res://textures/icons/$2.png[/img]""),""--"",""—""),""-&gt;"",""•""),""~@"", CONCATENATE(""["&amp;"i]"",REGEXEXTRACT(B151,""^([\s\S]*),|$""),""[/i]"")),""~"", CONCATENATE(""[i]"",B151,""[/i]"")),""(\([\s\S]*?\))"",""[i][color=#34343A]$0[/color][/i]""), ""&lt;"", ""[""), ""&gt;"", ""]""), ""[/p][p]"", ""[font_size=15]\n\n[/font_size]""), ""[br/]"", ""\n"")"),"")</f>
        <v/>
      </c>
      <c r="W151" s="6" t="str">
        <f t="shared" si="11"/>
        <v>[i][/i]</v>
      </c>
      <c r="X151" s="1" t="str">
        <f t="shared" si="12"/>
        <v>0</v>
      </c>
      <c r="Y151" s="1"/>
    </row>
    <row r="152">
      <c r="A152" s="7" t="s">
        <v>76</v>
      </c>
      <c r="B152" s="6" t="str">
        <f t="shared" si="9"/>
        <v>C</v>
      </c>
      <c r="C152" s="8"/>
      <c r="D152" s="9" t="str">
        <f>IFERROR(__xludf.DUMMYFUNCTION("IF(ISBLANK(A152),"""",SWITCH(IF(T152="""",0,COUNTA(SPLIT(T152,"" ""))),0,""Generic"",1,TRIM(T152),2,""Multicolor"",3,""Multicolor"",4,""Multicolor"",5,""Multicolor"",6,""Multicolor"",7,""Multicolor"",8,""Multicolor""))"),"Generic")</f>
        <v>Generic</v>
      </c>
      <c r="E152" s="1"/>
      <c r="F152" s="1"/>
      <c r="H152" s="10"/>
      <c r="I152" s="11"/>
      <c r="J152" s="11"/>
      <c r="K152" s="6" t="s">
        <v>39</v>
      </c>
      <c r="L152" s="6" t="s">
        <v>39</v>
      </c>
      <c r="Q152" s="7">
        <v>60</v>
      </c>
      <c r="R152" s="7">
        <v>50</v>
      </c>
      <c r="S152" s="1" t="str">
        <f t="shared" si="10"/>
        <v>False</v>
      </c>
      <c r="T152" s="6" t="str">
        <f>IFERROR(__xludf.DUMMYFUNCTION("CONCATENATE(if(REGEXMATCH(C152,""R""),"" Red"",""""),if(REGEXMATCH(C152,""O""),"" Orange"",""""),if(REGEXMATCH(C152,""Y""),"" Yellow"",""""),if(REGEXMATCH(C152,""G""),"" Green"",""""),if(REGEXMATCH(C152,""B""),"" Blue"",""""),if(REGEXMATCH(C152,""P""),"" "&amp;"Purple"",""""))"),"")</f>
        <v/>
      </c>
      <c r="U152" s="6" t="str">
        <f>IFERROR(__xludf.DUMMYFUNCTION("TRIM(CONCAT(""[right]"", REGEXREPLACE(C152, ""([ROYGBPXZC_]|1?[0-9])"", ""[img=119]res://textures/icons/$0.png[/img]\\n"")))"),"[right]")</f>
        <v>[right]</v>
      </c>
      <c r="V152" s="1" t="str">
        <f>IFERROR(__xludf.DUMMYFUNCTION("SUBSTITUTE(SUBSTITUTE(SUBSTITUTE(SUBSTITUTE(REGEXREPLACE(SUBSTITUTE(SUBSTITUTE(SUBSTITUTE(SUBSTITUTE(REGEXREPLACE(I152, ""(\[([ROYGBPTQUXZC_]|1?[0-9])\])"", ""[img=45]res://textures/icons/$2.png[/img]""),""--"",""—""),""-&gt;"",""•""),""~@"", CONCATENATE(""["&amp;"i]"",REGEXEXTRACT(B152,""^([\s\S]*),|$""),""[/i]"")),""~"", CONCATENATE(""[i]"",B152,""[/i]"")),""(\([\s\S]*?\))"",""[i][color=#34343A]$0[/color][/i]""), ""&lt;"", ""[""), ""&gt;"", ""]""), ""[/p][p]"", ""[font_size=15]\n\n[/font_size]""), ""[br/]"", ""\n"")"),"")</f>
        <v/>
      </c>
      <c r="W152" s="6" t="str">
        <f t="shared" si="11"/>
        <v>[i][/i]</v>
      </c>
      <c r="X152" s="1" t="str">
        <f t="shared" si="12"/>
        <v>0</v>
      </c>
      <c r="Y152" s="1"/>
    </row>
    <row r="153">
      <c r="A153" s="7" t="s">
        <v>76</v>
      </c>
      <c r="B153" s="6" t="str">
        <f t="shared" si="9"/>
        <v>C</v>
      </c>
      <c r="C153" s="8"/>
      <c r="D153" s="9" t="str">
        <f>IFERROR(__xludf.DUMMYFUNCTION("IF(ISBLANK(A153),"""",SWITCH(IF(T153="""",0,COUNTA(SPLIT(T153,"" ""))),0,""Generic"",1,TRIM(T153),2,""Multicolor"",3,""Multicolor"",4,""Multicolor"",5,""Multicolor"",6,""Multicolor"",7,""Multicolor"",8,""Multicolor""))"),"Generic")</f>
        <v>Generic</v>
      </c>
      <c r="E153" s="1"/>
      <c r="F153" s="1"/>
      <c r="H153" s="10"/>
      <c r="I153" s="11"/>
      <c r="J153" s="11"/>
      <c r="K153" s="6" t="s">
        <v>39</v>
      </c>
      <c r="L153" s="6" t="s">
        <v>39</v>
      </c>
      <c r="Q153" s="7">
        <v>60</v>
      </c>
      <c r="R153" s="7">
        <v>50</v>
      </c>
      <c r="S153" s="1" t="str">
        <f t="shared" si="10"/>
        <v>False</v>
      </c>
      <c r="T153" s="6" t="str">
        <f>IFERROR(__xludf.DUMMYFUNCTION("CONCATENATE(if(REGEXMATCH(C153,""R""),"" Red"",""""),if(REGEXMATCH(C153,""O""),"" Orange"",""""),if(REGEXMATCH(C153,""Y""),"" Yellow"",""""),if(REGEXMATCH(C153,""G""),"" Green"",""""),if(REGEXMATCH(C153,""B""),"" Blue"",""""),if(REGEXMATCH(C153,""P""),"" "&amp;"Purple"",""""))"),"")</f>
        <v/>
      </c>
      <c r="U153" s="6" t="str">
        <f>IFERROR(__xludf.DUMMYFUNCTION("TRIM(CONCAT(""[right]"", REGEXREPLACE(C153, ""([ROYGBPXZC_]|1?[0-9])"", ""[img=119]res://textures/icons/$0.png[/img]\\n"")))"),"[right]")</f>
        <v>[right]</v>
      </c>
      <c r="V153" s="1" t="str">
        <f>IFERROR(__xludf.DUMMYFUNCTION("SUBSTITUTE(SUBSTITUTE(SUBSTITUTE(SUBSTITUTE(REGEXREPLACE(SUBSTITUTE(SUBSTITUTE(SUBSTITUTE(SUBSTITUTE(REGEXREPLACE(I153, ""(\[([ROYGBPTQUXZC_]|1?[0-9])\])"", ""[img=45]res://textures/icons/$2.png[/img]""),""--"",""—""),""-&gt;"",""•""),""~@"", CONCATENATE(""["&amp;"i]"",REGEXEXTRACT(B153,""^([\s\S]*),|$""),""[/i]"")),""~"", CONCATENATE(""[i]"",B153,""[/i]"")),""(\([\s\S]*?\))"",""[i][color=#34343A]$0[/color][/i]""), ""&lt;"", ""[""), ""&gt;"", ""]""), ""[/p][p]"", ""[font_size=15]\n\n[/font_size]""), ""[br/]"", ""\n"")"),"")</f>
        <v/>
      </c>
      <c r="W153" s="6" t="str">
        <f t="shared" si="11"/>
        <v>[i][/i]</v>
      </c>
      <c r="X153" s="1" t="str">
        <f t="shared" si="12"/>
        <v>0</v>
      </c>
      <c r="Y153" s="1"/>
    </row>
    <row r="154">
      <c r="A154" s="7" t="s">
        <v>76</v>
      </c>
      <c r="B154" s="6" t="str">
        <f t="shared" si="9"/>
        <v>C</v>
      </c>
      <c r="C154" s="8"/>
      <c r="D154" s="9" t="str">
        <f>IFERROR(__xludf.DUMMYFUNCTION("IF(ISBLANK(A154),"""",SWITCH(IF(T154="""",0,COUNTA(SPLIT(T154,"" ""))),0,""Generic"",1,TRIM(T154),2,""Multicolor"",3,""Multicolor"",4,""Multicolor"",5,""Multicolor"",6,""Multicolor"",7,""Multicolor"",8,""Multicolor""))"),"Generic")</f>
        <v>Generic</v>
      </c>
      <c r="E154" s="1"/>
      <c r="F154" s="1"/>
      <c r="H154" s="10"/>
      <c r="I154" s="11"/>
      <c r="J154" s="11"/>
      <c r="K154" s="6" t="s">
        <v>39</v>
      </c>
      <c r="L154" s="6" t="s">
        <v>39</v>
      </c>
      <c r="Q154" s="7">
        <v>60</v>
      </c>
      <c r="R154" s="7">
        <v>50</v>
      </c>
      <c r="S154" s="1" t="str">
        <f t="shared" si="10"/>
        <v>False</v>
      </c>
      <c r="T154" s="6" t="str">
        <f>IFERROR(__xludf.DUMMYFUNCTION("CONCATENATE(if(REGEXMATCH(C154,""R""),"" Red"",""""),if(REGEXMATCH(C154,""O""),"" Orange"",""""),if(REGEXMATCH(C154,""Y""),"" Yellow"",""""),if(REGEXMATCH(C154,""G""),"" Green"",""""),if(REGEXMATCH(C154,""B""),"" Blue"",""""),if(REGEXMATCH(C154,""P""),"" "&amp;"Purple"",""""))"),"")</f>
        <v/>
      </c>
      <c r="U154" s="6" t="str">
        <f>IFERROR(__xludf.DUMMYFUNCTION("TRIM(CONCAT(""[right]"", REGEXREPLACE(C154, ""([ROYGBPXZC_]|1?[0-9])"", ""[img=119]res://textures/icons/$0.png[/img]\\n"")))"),"[right]")</f>
        <v>[right]</v>
      </c>
      <c r="V154" s="1" t="str">
        <f>IFERROR(__xludf.DUMMYFUNCTION("SUBSTITUTE(SUBSTITUTE(SUBSTITUTE(SUBSTITUTE(REGEXREPLACE(SUBSTITUTE(SUBSTITUTE(SUBSTITUTE(SUBSTITUTE(REGEXREPLACE(I154, ""(\[([ROYGBPTQUXZC_]|1?[0-9])\])"", ""[img=45]res://textures/icons/$2.png[/img]""),""--"",""—""),""-&gt;"",""•""),""~@"", CONCATENATE(""["&amp;"i]"",REGEXEXTRACT(B154,""^([\s\S]*),|$""),""[/i]"")),""~"", CONCATENATE(""[i]"",B154,""[/i]"")),""(\([\s\S]*?\))"",""[i][color=#34343A]$0[/color][/i]""), ""&lt;"", ""[""), ""&gt;"", ""]""), ""[/p][p]"", ""[font_size=15]\n\n[/font_size]""), ""[br/]"", ""\n"")"),"")</f>
        <v/>
      </c>
      <c r="W154" s="6" t="str">
        <f t="shared" si="11"/>
        <v>[i][/i]</v>
      </c>
      <c r="X154" s="1" t="str">
        <f t="shared" si="12"/>
        <v>0</v>
      </c>
      <c r="Y154" s="1"/>
    </row>
    <row r="155">
      <c r="A155" s="7" t="s">
        <v>361</v>
      </c>
      <c r="B155" s="7" t="str">
        <f t="shared" si="9"/>
        <v>M_CMDR_OB_001</v>
      </c>
      <c r="C155" s="8"/>
      <c r="D155" s="9" t="str">
        <f>IFERROR(__xludf.DUMMYFUNCTION("IF(ISBLANK(A155),"""",SWITCH(IF(T155="""",0,COUNTA(SPLIT(T155,"" ""))),0,""Generic"",1,TRIM(T155),2,""Multicolor"",3,""Multicolor"",4,""Multicolor"",5,""Multicolor"",6,""Multicolor"",7,""Multicolor"",8,""Multicolor""))"),"Generic")</f>
        <v>Generic</v>
      </c>
      <c r="E155" s="1"/>
      <c r="F155" s="1"/>
      <c r="G155" s="7" t="s">
        <v>362</v>
      </c>
      <c r="H155" s="7" t="s">
        <v>362</v>
      </c>
      <c r="I155" s="7" t="s">
        <v>362</v>
      </c>
      <c r="J155" s="7" t="s">
        <v>362</v>
      </c>
      <c r="K155" s="6" t="e">
        <v>#VALUE!</v>
      </c>
      <c r="L155" s="6" t="e">
        <v>#VALUE!</v>
      </c>
      <c r="O155" s="7" t="s">
        <v>362</v>
      </c>
      <c r="Q155" s="7">
        <v>60</v>
      </c>
      <c r="R155" s="7">
        <v>50</v>
      </c>
      <c r="S155" s="1" t="str">
        <f t="shared" si="10"/>
        <v>#VALUE!</v>
      </c>
      <c r="T155" s="6" t="str">
        <f>IFERROR(__xludf.DUMMYFUNCTION("CONCATENATE(if(REGEXMATCH(C155,""R""),"" Red"",""""),if(REGEXMATCH(C155,""O""),"" Orange"",""""),if(REGEXMATCH(C155,""Y""),"" Yellow"",""""),if(REGEXMATCH(C155,""G""),"" Green"",""""),if(REGEXMATCH(C155,""B""),"" Blue"",""""),if(REGEXMATCH(C155,""P""),"" "&amp;"Purple"",""""))"),"")</f>
        <v/>
      </c>
      <c r="U155" s="6" t="str">
        <f>IFERROR(__xludf.DUMMYFUNCTION("TRIM(CONCAT(""[right]"", REGEXREPLACE(C155, ""([ROYGBPXZC_]|1?[0-9])"", ""[img=119]res://textures/icons/$0.png[/img]\\n"")))"),"[right]")</f>
        <v>[right]</v>
      </c>
      <c r="V155" s="1" t="str">
        <f>IFERROR(__xludf.DUMMYFUNCTION("SUBSTITUTE(SUBSTITUTE(SUBSTITUTE(SUBSTITUTE(REGEXREPLACE(SUBSTITUTE(SUBSTITUTE(SUBSTITUTE(SUBSTITUTE(REGEXREPLACE(I155, ""(\[([ROYGBPTQUXZC_]|1?[0-9])\])"", ""[img=45]res://textures/icons/$2.png[/img]""),""--"",""—""),""-&gt;"",""•""),""~@"", CONCATENATE(""["&amp;"i]"",REGEXEXTRACT(B155,""^([\s\S]*),|$""),""[/i]"")),""~"", CONCATENATE(""[i]"",B155,""[/i]"")),""(\([\s\S]*?\))"",""[i][color=#34343A]$0[/color][/i]""), ""&lt;"", ""[""), ""&gt;"", ""]""), ""[/p][p]"", ""[font_size=15]\n\n[/font_size]""), ""[br/]"", ""\n"")"),"Drones")</f>
        <v>Drones</v>
      </c>
      <c r="W155" s="6" t="str">
        <f t="shared" si="11"/>
        <v>[i][/i]</v>
      </c>
      <c r="X155" s="1" t="str">
        <f t="shared" si="12"/>
        <v>0</v>
      </c>
      <c r="Y155" s="1"/>
    </row>
    <row r="156">
      <c r="A156" s="7" t="s">
        <v>48</v>
      </c>
      <c r="B156" s="7" t="s">
        <v>48</v>
      </c>
      <c r="C156" s="12" t="s">
        <v>363</v>
      </c>
      <c r="D156" s="9" t="str">
        <f>IFERROR(__xludf.DUMMYFUNCTION("IF(ISBLANK(A156),"""",SWITCH(IF(T156="""",0,COUNTA(SPLIT(T156,"" ""))),0,""Generic"",1,TRIM(T156),2,""Multicolor"",3,""Multicolor"",4,""Multicolor"",5,""Multicolor"",6,""Multicolor"",7,""Multicolor"",8,""Multicolor""))"),"Generic")</f>
        <v>Generic</v>
      </c>
      <c r="E156" s="1"/>
      <c r="F156" s="1"/>
      <c r="H156" s="10"/>
      <c r="I156" s="11"/>
      <c r="J156" s="11"/>
      <c r="O156" s="11"/>
      <c r="Q156" s="7">
        <v>50</v>
      </c>
      <c r="R156" s="7">
        <v>50</v>
      </c>
      <c r="S156" s="1" t="str">
        <f t="shared" si="10"/>
        <v>False</v>
      </c>
      <c r="T156" s="6" t="str">
        <f>IFERROR(__xludf.DUMMYFUNCTION("CONCATENATE(if(REGEXMATCH(C156,""R""),"" Red"",""""),if(REGEXMATCH(C156,""O""),"" Orange"",""""),if(REGEXMATCH(C156,""Y""),"" Yellow"",""""),if(REGEXMATCH(C156,""G""),"" Green"",""""),if(REGEXMATCH(C156,""B""),"" Blue"",""""),if(REGEXMATCH(C156,""P""),"" "&amp;"Purple"",""""))"),"")</f>
        <v/>
      </c>
      <c r="U156" s="6" t="str">
        <f>IFERROR(__xludf.DUMMYFUNCTION("TRIM(CONCAT(""[right]"", REGEXREPLACE(C156, ""([ROYGBPXZC_]|1?[0-9])"", ""[img=119]res://textures/icons/$0.png[/img]\\n"")))"),"[right].")</f>
        <v>[right].</v>
      </c>
      <c r="V156" s="1" t="str">
        <f>IFERROR(__xludf.DUMMYFUNCTION("SUBSTITUTE(SUBSTITUTE(SUBSTITUTE(SUBSTITUTE(REGEXREPLACE(SUBSTITUTE(SUBSTITUTE(SUBSTITUTE(SUBSTITUTE(REGEXREPLACE(I156, ""(\[([ROYGBPTQUXZC_]|1?[0-9])\])"", ""[img=45]res://textures/icons/$2.png[/img]""),""--"",""—""),""-&gt;"",""•""),""~@"", CONCATENATE(""["&amp;"i]"",REGEXEXTRACT(B156,""^([\s\S]*),|$""),""[/i]"")),""~"", CONCATENATE(""[i]"",B156,""[/i]"")),""(\([\s\S]*?\))"",""[i][color=#34343A]$0[/color][/i]""), ""&lt;"", ""[""), ""&gt;"", ""]""), ""[/p][p]"", ""[font_size=15]\n\n[/font_size]""), ""[br/]"", ""\n"")"),"")</f>
        <v/>
      </c>
      <c r="W156" s="6" t="str">
        <f t="shared" si="11"/>
        <v>[i][/i]</v>
      </c>
      <c r="X156" s="1" t="str">
        <f t="shared" si="12"/>
        <v>0</v>
      </c>
      <c r="Y156" s="1"/>
    </row>
    <row r="157">
      <c r="A157" s="7" t="s">
        <v>48</v>
      </c>
      <c r="B157" s="7" t="s">
        <v>48</v>
      </c>
      <c r="C157" s="12" t="s">
        <v>363</v>
      </c>
      <c r="D157" s="9" t="str">
        <f>IFERROR(__xludf.DUMMYFUNCTION("IF(ISBLANK(A157),"""",SWITCH(IF(T157="""",0,COUNTA(SPLIT(T157,"" ""))),0,""Generic"",1,TRIM(T157),2,""Multicolor"",3,""Multicolor"",4,""Multicolor"",5,""Multicolor"",6,""Multicolor"",7,""Multicolor"",8,""Multicolor""))"),"Generic")</f>
        <v>Generic</v>
      </c>
      <c r="E157" s="1"/>
      <c r="F157" s="1"/>
      <c r="H157" s="10"/>
      <c r="I157" s="11"/>
      <c r="J157" s="11"/>
      <c r="K157" s="6" t="s">
        <v>39</v>
      </c>
      <c r="L157" s="6" t="s">
        <v>39</v>
      </c>
      <c r="O157" s="11"/>
      <c r="Q157" s="7">
        <v>60</v>
      </c>
      <c r="R157" s="7">
        <v>50</v>
      </c>
      <c r="S157" s="1" t="str">
        <f t="shared" si="10"/>
        <v>False</v>
      </c>
      <c r="T157" s="6" t="str">
        <f>IFERROR(__xludf.DUMMYFUNCTION("CONCATENATE(if(REGEXMATCH(C157,""R""),"" Red"",""""),if(REGEXMATCH(C157,""O""),"" Orange"",""""),if(REGEXMATCH(C157,""Y""),"" Yellow"",""""),if(REGEXMATCH(C157,""G""),"" Green"",""""),if(REGEXMATCH(C157,""B""),"" Blue"",""""),if(REGEXMATCH(C157,""P""),"" "&amp;"Purple"",""""))"),"")</f>
        <v/>
      </c>
      <c r="U157" s="6" t="str">
        <f>IFERROR(__xludf.DUMMYFUNCTION("TRIM(CONCAT(""[right]"", REGEXREPLACE(C157, ""([ROYGBPXZC_]|1?[0-9])"", ""[img=119]res://textures/icons/$0.png[/img]\\n"")))"),"[right].")</f>
        <v>[right].</v>
      </c>
      <c r="V157" s="1" t="str">
        <f>IFERROR(__xludf.DUMMYFUNCTION("SUBSTITUTE(SUBSTITUTE(SUBSTITUTE(SUBSTITUTE(REGEXREPLACE(SUBSTITUTE(SUBSTITUTE(SUBSTITUTE(SUBSTITUTE(REGEXREPLACE(I157, ""(\[([ROYGBPTQUXZC_]|1?[0-9])\])"", ""[img=45]res://textures/icons/$2.png[/img]""),""--"",""—""),""-&gt;"",""•""),""~@"", CONCATENATE(""["&amp;"i]"",REGEXEXTRACT(B157,""^([\s\S]*),|$""),""[/i]"")),""~"", CONCATENATE(""[i]"",B157,""[/i]"")),""(\([\s\S]*?\))"",""[i][color=#34343A]$0[/color][/i]""), ""&lt;"", ""[""), ""&gt;"", ""]""), ""[/p][p]"", ""[font_size=15]\n\n[/font_size]""), ""[br/]"", ""\n"")"),"")</f>
        <v/>
      </c>
      <c r="W157" s="6" t="str">
        <f t="shared" si="11"/>
        <v>[i][/i]</v>
      </c>
      <c r="X157" s="1" t="str">
        <f t="shared" si="12"/>
        <v>0</v>
      </c>
      <c r="Y157" s="1"/>
    </row>
    <row r="158">
      <c r="A158" s="7" t="s">
        <v>48</v>
      </c>
      <c r="B158" s="7" t="s">
        <v>48</v>
      </c>
      <c r="C158" s="8"/>
      <c r="D158" s="9" t="str">
        <f>IFERROR(__xludf.DUMMYFUNCTION("IF(ISBLANK(A158),"""",SWITCH(IF(T158="""",0,COUNTA(SPLIT(T158,"" ""))),0,""Generic"",1,TRIM(T158),2,""Multicolor"",3,""Multicolor"",4,""Multicolor"",5,""Multicolor"",6,""Multicolor"",7,""Multicolor"",8,""Multicolor""))"),"Generic")</f>
        <v>Generic</v>
      </c>
      <c r="E158" s="1"/>
      <c r="F158" s="1"/>
      <c r="H158" s="10"/>
      <c r="I158" s="11"/>
      <c r="J158" s="11"/>
      <c r="K158" s="6" t="s">
        <v>39</v>
      </c>
      <c r="L158" s="6" t="s">
        <v>39</v>
      </c>
      <c r="Q158" s="7">
        <v>60</v>
      </c>
      <c r="R158" s="7">
        <v>50</v>
      </c>
      <c r="S158" s="1" t="str">
        <f t="shared" si="10"/>
        <v>False</v>
      </c>
      <c r="T158" s="6" t="str">
        <f>IFERROR(__xludf.DUMMYFUNCTION("CONCATENATE(if(REGEXMATCH(C158,""R""),"" Red"",""""),if(REGEXMATCH(C158,""O""),"" Orange"",""""),if(REGEXMATCH(C158,""Y""),"" Yellow"",""""),if(REGEXMATCH(C158,""G""),"" Green"",""""),if(REGEXMATCH(C158,""B""),"" Blue"",""""),if(REGEXMATCH(C158,""P""),"" "&amp;"Purple"",""""))"),"")</f>
        <v/>
      </c>
      <c r="U158" s="6" t="str">
        <f>IFERROR(__xludf.DUMMYFUNCTION("TRIM(CONCAT(""[right]"", REGEXREPLACE(C158, ""([ROYGBPXZC_]|1?[0-9])"", ""[img=119]res://textures/icons/$0.png[/img]\\n"")))"),"[right]")</f>
        <v>[right]</v>
      </c>
      <c r="V158" s="1" t="str">
        <f>IFERROR(__xludf.DUMMYFUNCTION("SUBSTITUTE(SUBSTITUTE(SUBSTITUTE(SUBSTITUTE(REGEXREPLACE(SUBSTITUTE(SUBSTITUTE(SUBSTITUTE(SUBSTITUTE(REGEXREPLACE(I158, ""(\[([ROYGBPTQUXZC_]|1?[0-9])\])"", ""[img=45]res://textures/icons/$2.png[/img]""),""--"",""—""),""-&gt;"",""•""),""~@"", CONCATENATE(""["&amp;"i]"",REGEXEXTRACT(B158,""^([\s\S]*),|$""),""[/i]"")),""~"", CONCATENATE(""[i]"",B158,""[/i]"")),""(\([\s\S]*?\))"",""[i][color=#34343A]$0[/color][/i]""), ""&lt;"", ""[""), ""&gt;"", ""]""), ""[/p][p]"", ""[font_size=15]\n\n[/font_size]""), ""[br/]"", ""\n"")"),"")</f>
        <v/>
      </c>
      <c r="W158" s="6" t="str">
        <f t="shared" si="11"/>
        <v>[i][/i]</v>
      </c>
      <c r="X158" s="1" t="str">
        <f t="shared" si="12"/>
        <v>0</v>
      </c>
      <c r="Y158" s="1"/>
    </row>
    <row r="159">
      <c r="A159" s="7" t="s">
        <v>48</v>
      </c>
      <c r="B159" s="7" t="s">
        <v>48</v>
      </c>
      <c r="C159" s="8"/>
      <c r="D159" s="9" t="str">
        <f>IFERROR(__xludf.DUMMYFUNCTION("IF(ISBLANK(A159),"""",SWITCH(IF(T159="""",0,COUNTA(SPLIT(T159,"" ""))),0,""Generic"",1,TRIM(T159),2,""Multicolor"",3,""Multicolor"",4,""Multicolor"",5,""Multicolor"",6,""Multicolor"",7,""Multicolor"",8,""Multicolor""))"),"Generic")</f>
        <v>Generic</v>
      </c>
      <c r="E159" s="1"/>
      <c r="F159" s="1"/>
      <c r="H159" s="10"/>
      <c r="I159" s="11"/>
      <c r="J159" s="11"/>
      <c r="K159" s="6" t="s">
        <v>39</v>
      </c>
      <c r="L159" s="6" t="s">
        <v>39</v>
      </c>
      <c r="Q159" s="7">
        <v>60</v>
      </c>
      <c r="R159" s="7">
        <v>50</v>
      </c>
      <c r="S159" s="1" t="str">
        <f t="shared" si="10"/>
        <v>False</v>
      </c>
      <c r="T159" s="6" t="str">
        <f>IFERROR(__xludf.DUMMYFUNCTION("CONCATENATE(if(REGEXMATCH(C159,""R""),"" Red"",""""),if(REGEXMATCH(C159,""O""),"" Orange"",""""),if(REGEXMATCH(C159,""Y""),"" Yellow"",""""),if(REGEXMATCH(C159,""G""),"" Green"",""""),if(REGEXMATCH(C159,""B""),"" Blue"",""""),if(REGEXMATCH(C159,""P""),"" "&amp;"Purple"",""""))"),"")</f>
        <v/>
      </c>
      <c r="U159" s="6" t="str">
        <f>IFERROR(__xludf.DUMMYFUNCTION("TRIM(CONCAT(""[right]"", REGEXREPLACE(C159, ""([ROYGBPXZC_]|1?[0-9])"", ""[img=119]res://textures/icons/$0.png[/img]\\n"")))"),"[right]")</f>
        <v>[right]</v>
      </c>
      <c r="V159" s="1" t="str">
        <f>IFERROR(__xludf.DUMMYFUNCTION("SUBSTITUTE(SUBSTITUTE(SUBSTITUTE(SUBSTITUTE(REGEXREPLACE(SUBSTITUTE(SUBSTITUTE(SUBSTITUTE(SUBSTITUTE(REGEXREPLACE(I159, ""(\[([ROYGBPTQUXZC_]|1?[0-9])\])"", ""[img=45]res://textures/icons/$2.png[/img]""),""--"",""—""),""-&gt;"",""•""),""~@"", CONCATENATE(""["&amp;"i]"",REGEXEXTRACT(B159,""^([\s\S]*),|$""),""[/i]"")),""~"", CONCATENATE(""[i]"",B159,""[/i]"")),""(\([\s\S]*?\))"",""[i][color=#34343A]$0[/color][/i]""), ""&lt;"", ""[""), ""&gt;"", ""]""), ""[/p][p]"", ""[font_size=15]\n\n[/font_size]""), ""[br/]"", ""\n"")"),"")</f>
        <v/>
      </c>
      <c r="W159" s="6" t="str">
        <f t="shared" si="11"/>
        <v>[i][/i]</v>
      </c>
      <c r="X159" s="1" t="str">
        <f t="shared" si="12"/>
        <v>0</v>
      </c>
      <c r="Y159" s="1"/>
    </row>
    <row r="160">
      <c r="A160" s="7" t="s">
        <v>75</v>
      </c>
      <c r="B160" s="6" t="str">
        <f t="shared" si="9"/>
        <v>U</v>
      </c>
      <c r="C160" s="8"/>
      <c r="D160" s="9" t="str">
        <f>IFERROR(__xludf.DUMMYFUNCTION("IF(ISBLANK(A160),"""",SWITCH(IF(T160="""",0,COUNTA(SPLIT(T160,"" ""))),0,""Generic"",1,TRIM(T160),2,""Multicolor"",3,""Multicolor"",4,""Multicolor"",5,""Multicolor"",6,""Multicolor"",7,""Multicolor"",8,""Multicolor""))"),"Generic")</f>
        <v>Generic</v>
      </c>
      <c r="E160" s="1"/>
      <c r="F160" s="1"/>
      <c r="H160" s="10"/>
      <c r="I160" s="11"/>
      <c r="J160" s="11"/>
      <c r="K160" s="6" t="s">
        <v>39</v>
      </c>
      <c r="L160" s="6" t="s">
        <v>39</v>
      </c>
      <c r="Q160" s="7">
        <v>50</v>
      </c>
      <c r="R160" s="7">
        <v>50</v>
      </c>
      <c r="S160" s="1" t="str">
        <f t="shared" si="10"/>
        <v>False</v>
      </c>
      <c r="T160" s="6" t="str">
        <f>IFERROR(__xludf.DUMMYFUNCTION("CONCATENATE(if(REGEXMATCH(C160,""R""),"" Red"",""""),if(REGEXMATCH(C160,""O""),"" Orange"",""""),if(REGEXMATCH(C160,""Y""),"" Yellow"",""""),if(REGEXMATCH(C160,""G""),"" Green"",""""),if(REGEXMATCH(C160,""B""),"" Blue"",""""),if(REGEXMATCH(C160,""P""),"" "&amp;"Purple"",""""))"),"")</f>
        <v/>
      </c>
      <c r="U160" s="6" t="str">
        <f>IFERROR(__xludf.DUMMYFUNCTION("TRIM(CONCAT(""[right]"", REGEXREPLACE(C160, ""([ROYGBPXZC_]|1?[0-9])"", ""[img=119]res://textures/icons/$0.png[/img]\\n"")))"),"[right]")</f>
        <v>[right]</v>
      </c>
      <c r="V160" s="1" t="str">
        <f>IFERROR(__xludf.DUMMYFUNCTION("SUBSTITUTE(SUBSTITUTE(SUBSTITUTE(SUBSTITUTE(REGEXREPLACE(SUBSTITUTE(SUBSTITUTE(SUBSTITUTE(SUBSTITUTE(REGEXREPLACE(I160, ""(\[([ROYGBPTQUXZC_]|1?[0-9])\])"", ""[img=45]res://textures/icons/$2.png[/img]""),""--"",""—""),""-&gt;"",""•""),""~@"", CONCATENATE(""["&amp;"i]"",REGEXEXTRACT(B160,""^([\s\S]*),|$""),""[/i]"")),""~"", CONCATENATE(""[i]"",B160,""[/i]"")),""(\([\s\S]*?\))"",""[i][color=#34343A]$0[/color][/i]""), ""&lt;"", ""[""), ""&gt;"", ""]""), ""[/p][p]"", ""[font_size=15]\n\n[/font_size]""), ""[br/]"", ""\n"")"),"")</f>
        <v/>
      </c>
      <c r="W160" s="6" t="str">
        <f t="shared" si="11"/>
        <v>[i][/i]</v>
      </c>
      <c r="X160" s="1" t="str">
        <f t="shared" si="12"/>
        <v>0</v>
      </c>
      <c r="Y160" s="1"/>
    </row>
    <row r="161">
      <c r="A161" s="7" t="s">
        <v>75</v>
      </c>
      <c r="B161" s="6" t="str">
        <f t="shared" si="9"/>
        <v>U</v>
      </c>
      <c r="C161" s="8"/>
      <c r="D161" s="9" t="str">
        <f>IFERROR(__xludf.DUMMYFUNCTION("IF(ISBLANK(A161),"""",SWITCH(IF(T161="""",0,COUNTA(SPLIT(T161,"" ""))),0,""Generic"",1,TRIM(T161),2,""Multicolor"",3,""Multicolor"",4,""Multicolor"",5,""Multicolor"",6,""Multicolor"",7,""Multicolor"",8,""Multicolor""))"),"Generic")</f>
        <v>Generic</v>
      </c>
      <c r="E161" s="1"/>
      <c r="F161" s="1"/>
      <c r="H161" s="10"/>
      <c r="I161" s="11"/>
      <c r="J161" s="11"/>
      <c r="K161" s="6" t="s">
        <v>39</v>
      </c>
      <c r="L161" s="6" t="s">
        <v>39</v>
      </c>
      <c r="Q161" s="7">
        <v>60</v>
      </c>
      <c r="R161" s="7">
        <v>50</v>
      </c>
      <c r="S161" s="1" t="str">
        <f t="shared" si="10"/>
        <v>False</v>
      </c>
      <c r="T161" s="6" t="str">
        <f>IFERROR(__xludf.DUMMYFUNCTION("CONCATENATE(if(REGEXMATCH(C161,""R""),"" Red"",""""),if(REGEXMATCH(C161,""O""),"" Orange"",""""),if(REGEXMATCH(C161,""Y""),"" Yellow"",""""),if(REGEXMATCH(C161,""G""),"" Green"",""""),if(REGEXMATCH(C161,""B""),"" Blue"",""""),if(REGEXMATCH(C161,""P""),"" "&amp;"Purple"",""""))"),"")</f>
        <v/>
      </c>
      <c r="U161" s="6" t="str">
        <f>IFERROR(__xludf.DUMMYFUNCTION("TRIM(CONCAT(""[right]"", REGEXREPLACE(C161, ""([ROYGBPXZC_]|1?[0-9])"", ""[img=119]res://textures/icons/$0.png[/img]\\n"")))"),"[right]")</f>
        <v>[right]</v>
      </c>
      <c r="V161" s="1" t="str">
        <f>IFERROR(__xludf.DUMMYFUNCTION("SUBSTITUTE(SUBSTITUTE(SUBSTITUTE(SUBSTITUTE(REGEXREPLACE(SUBSTITUTE(SUBSTITUTE(SUBSTITUTE(SUBSTITUTE(REGEXREPLACE(I161, ""(\[([ROYGBPTQUXZC_]|1?[0-9])\])"", ""[img=45]res://textures/icons/$2.png[/img]""),""--"",""—""),""-&gt;"",""•""),""~@"", CONCATENATE(""["&amp;"i]"",REGEXEXTRACT(B161,""^([\s\S]*),|$""),""[/i]"")),""~"", CONCATENATE(""[i]"",B161,""[/i]"")),""(\([\s\S]*?\))"",""[i][color=#34343A]$0[/color][/i]""), ""&lt;"", ""[""), ""&gt;"", ""]""), ""[/p][p]"", ""[font_size=15]\n\n[/font_size]""), ""[br/]"", ""\n"")"),"")</f>
        <v/>
      </c>
      <c r="W161" s="6" t="str">
        <f t="shared" si="11"/>
        <v>[i][/i]</v>
      </c>
      <c r="X161" s="1" t="str">
        <f t="shared" si="12"/>
        <v>0</v>
      </c>
      <c r="Y161" s="1"/>
    </row>
    <row r="162">
      <c r="A162" s="7" t="s">
        <v>75</v>
      </c>
      <c r="B162" s="6" t="str">
        <f t="shared" si="9"/>
        <v>U</v>
      </c>
      <c r="C162" s="8"/>
      <c r="D162" s="9" t="str">
        <f>IFERROR(__xludf.DUMMYFUNCTION("IF(ISBLANK(A162),"""",SWITCH(IF(T162="""",0,COUNTA(SPLIT(T162,"" ""))),0,""Generic"",1,TRIM(T162),2,""Multicolor"",3,""Multicolor"",4,""Multicolor"",5,""Multicolor"",6,""Multicolor"",7,""Multicolor"",8,""Multicolor""))"),"Generic")</f>
        <v>Generic</v>
      </c>
      <c r="E162" s="1"/>
      <c r="F162" s="1"/>
      <c r="H162" s="10"/>
      <c r="I162" s="11"/>
      <c r="J162" s="11"/>
      <c r="K162" s="6" t="s">
        <v>39</v>
      </c>
      <c r="L162" s="6" t="s">
        <v>39</v>
      </c>
      <c r="Q162" s="7">
        <v>60</v>
      </c>
      <c r="R162" s="7">
        <v>50</v>
      </c>
      <c r="S162" s="1" t="str">
        <f t="shared" si="10"/>
        <v>False</v>
      </c>
      <c r="T162" s="6" t="str">
        <f>IFERROR(__xludf.DUMMYFUNCTION("CONCATENATE(if(REGEXMATCH(C162,""R""),"" Red"",""""),if(REGEXMATCH(C162,""O""),"" Orange"",""""),if(REGEXMATCH(C162,""Y""),"" Yellow"",""""),if(REGEXMATCH(C162,""G""),"" Green"",""""),if(REGEXMATCH(C162,""B""),"" Blue"",""""),if(REGEXMATCH(C162,""P""),"" "&amp;"Purple"",""""))"),"")</f>
        <v/>
      </c>
      <c r="U162" s="6" t="str">
        <f>IFERROR(__xludf.DUMMYFUNCTION("TRIM(CONCAT(""[right]"", REGEXREPLACE(C162, ""([ROYGBPXZC_]|1?[0-9])"", ""[img=119]res://textures/icons/$0.png[/img]\\n"")))"),"[right]")</f>
        <v>[right]</v>
      </c>
      <c r="V162" s="1" t="str">
        <f>IFERROR(__xludf.DUMMYFUNCTION("SUBSTITUTE(SUBSTITUTE(SUBSTITUTE(SUBSTITUTE(REGEXREPLACE(SUBSTITUTE(SUBSTITUTE(SUBSTITUTE(SUBSTITUTE(REGEXREPLACE(I162, ""(\[([ROYGBPTQUXZC_]|1?[0-9])\])"", ""[img=45]res://textures/icons/$2.png[/img]""),""--"",""—""),""-&gt;"",""•""),""~@"", CONCATENATE(""["&amp;"i]"",REGEXEXTRACT(B162,""^([\s\S]*),|$""),""[/i]"")),""~"", CONCATENATE(""[i]"",B162,""[/i]"")),""(\([\s\S]*?\))"",""[i][color=#34343A]$0[/color][/i]""), ""&lt;"", ""[""), ""&gt;"", ""]""), ""[/p][p]"", ""[font_size=15]\n\n[/font_size]""), ""[br/]"", ""\n"")"),"")</f>
        <v/>
      </c>
      <c r="W162" s="6" t="str">
        <f t="shared" si="11"/>
        <v>[i][/i]</v>
      </c>
      <c r="X162" s="1" t="str">
        <f t="shared" si="12"/>
        <v>0</v>
      </c>
      <c r="Y162" s="1"/>
    </row>
    <row r="163">
      <c r="A163" s="7" t="s">
        <v>75</v>
      </c>
      <c r="B163" s="6" t="str">
        <f t="shared" si="9"/>
        <v>U</v>
      </c>
      <c r="C163" s="8"/>
      <c r="D163" s="9" t="str">
        <f>IFERROR(__xludf.DUMMYFUNCTION("IF(ISBLANK(A163),"""",SWITCH(IF(T163="""",0,COUNTA(SPLIT(T163,"" ""))),0,""Generic"",1,TRIM(T163),2,""Multicolor"",3,""Multicolor"",4,""Multicolor"",5,""Multicolor"",6,""Multicolor"",7,""Multicolor"",8,""Multicolor""))"),"Generic")</f>
        <v>Generic</v>
      </c>
      <c r="E163" s="1"/>
      <c r="F163" s="1"/>
      <c r="H163" s="10"/>
      <c r="I163" s="11"/>
      <c r="J163" s="11"/>
      <c r="K163" s="6" t="s">
        <v>39</v>
      </c>
      <c r="L163" s="6" t="s">
        <v>39</v>
      </c>
      <c r="Q163" s="7">
        <v>60</v>
      </c>
      <c r="R163" s="7">
        <v>50</v>
      </c>
      <c r="S163" s="1" t="str">
        <f t="shared" si="10"/>
        <v>False</v>
      </c>
      <c r="T163" s="6" t="str">
        <f>IFERROR(__xludf.DUMMYFUNCTION("CONCATENATE(if(REGEXMATCH(C163,""R""),"" Red"",""""),if(REGEXMATCH(C163,""O""),"" Orange"",""""),if(REGEXMATCH(C163,""Y""),"" Yellow"",""""),if(REGEXMATCH(C163,""G""),"" Green"",""""),if(REGEXMATCH(C163,""B""),"" Blue"",""""),if(REGEXMATCH(C163,""P""),"" "&amp;"Purple"",""""))"),"")</f>
        <v/>
      </c>
      <c r="U163" s="6" t="str">
        <f>IFERROR(__xludf.DUMMYFUNCTION("TRIM(CONCAT(""[right]"", REGEXREPLACE(C163, ""([ROYGBPXZC_]|1?[0-9])"", ""[img=119]res://textures/icons/$0.png[/img]\\n"")))"),"[right]")</f>
        <v>[right]</v>
      </c>
      <c r="V163" s="1" t="str">
        <f>IFERROR(__xludf.DUMMYFUNCTION("SUBSTITUTE(SUBSTITUTE(SUBSTITUTE(SUBSTITUTE(REGEXREPLACE(SUBSTITUTE(SUBSTITUTE(SUBSTITUTE(SUBSTITUTE(REGEXREPLACE(I163, ""(\[([ROYGBPTQUXZC_]|1?[0-9])\])"", ""[img=45]res://textures/icons/$2.png[/img]""),""--"",""—""),""-&gt;"",""•""),""~@"", CONCATENATE(""["&amp;"i]"",REGEXEXTRACT(B163,""^([\s\S]*),|$""),""[/i]"")),""~"", CONCATENATE(""[i]"",B163,""[/i]"")),""(\([\s\S]*?\))"",""[i][color=#34343A]$0[/color][/i]""), ""&lt;"", ""[""), ""&gt;"", ""]""), ""[/p][p]"", ""[font_size=15]\n\n[/font_size]""), ""[br/]"", ""\n"")"),"")</f>
        <v/>
      </c>
      <c r="W163" s="6" t="str">
        <f t="shared" si="11"/>
        <v>[i][/i]</v>
      </c>
      <c r="X163" s="1" t="str">
        <f t="shared" si="12"/>
        <v>0</v>
      </c>
      <c r="Y163" s="1"/>
    </row>
    <row r="164">
      <c r="A164" s="7" t="s">
        <v>75</v>
      </c>
      <c r="B164" s="6" t="str">
        <f t="shared" si="9"/>
        <v>U</v>
      </c>
      <c r="C164" s="8"/>
      <c r="D164" s="9" t="str">
        <f>IFERROR(__xludf.DUMMYFUNCTION("IF(ISBLANK(A164),"""",SWITCH(IF(T164="""",0,COUNTA(SPLIT(T164,"" ""))),0,""Generic"",1,TRIM(T164),2,""Multicolor"",3,""Multicolor"",4,""Multicolor"",5,""Multicolor"",6,""Multicolor"",7,""Multicolor"",8,""Multicolor""))"),"Generic")</f>
        <v>Generic</v>
      </c>
      <c r="E164" s="1"/>
      <c r="F164" s="1"/>
      <c r="H164" s="10"/>
      <c r="I164" s="11"/>
      <c r="J164" s="11"/>
      <c r="K164" s="6" t="s">
        <v>39</v>
      </c>
      <c r="L164" s="6" t="s">
        <v>39</v>
      </c>
      <c r="Q164" s="7">
        <v>60</v>
      </c>
      <c r="R164" s="7">
        <v>50</v>
      </c>
      <c r="S164" s="1" t="str">
        <f t="shared" si="10"/>
        <v>False</v>
      </c>
      <c r="T164" s="6" t="str">
        <f>IFERROR(__xludf.DUMMYFUNCTION("CONCATENATE(if(REGEXMATCH(C164,""R""),"" Red"",""""),if(REGEXMATCH(C164,""O""),"" Orange"",""""),if(REGEXMATCH(C164,""Y""),"" Yellow"",""""),if(REGEXMATCH(C164,""G""),"" Green"",""""),if(REGEXMATCH(C164,""B""),"" Blue"",""""),if(REGEXMATCH(C164,""P""),"" "&amp;"Purple"",""""))"),"")</f>
        <v/>
      </c>
      <c r="U164" s="6" t="str">
        <f>IFERROR(__xludf.DUMMYFUNCTION("TRIM(CONCAT(""[right]"", REGEXREPLACE(C164, ""([ROYGBPXZC_]|1?[0-9])"", ""[img=119]res://textures/icons/$0.png[/img]\\n"")))"),"[right]")</f>
        <v>[right]</v>
      </c>
      <c r="V164" s="1" t="str">
        <f>IFERROR(__xludf.DUMMYFUNCTION("SUBSTITUTE(SUBSTITUTE(SUBSTITUTE(SUBSTITUTE(REGEXREPLACE(SUBSTITUTE(SUBSTITUTE(SUBSTITUTE(SUBSTITUTE(REGEXREPLACE(I164, ""(\[([ROYGBPTQUXZC_]|1?[0-9])\])"", ""[img=45]res://textures/icons/$2.png[/img]""),""--"",""—""),""-&gt;"",""•""),""~@"", CONCATENATE(""["&amp;"i]"",REGEXEXTRACT(B164,""^([\s\S]*),|$""),""[/i]"")),""~"", CONCATENATE(""[i]"",B164,""[/i]"")),""(\([\s\S]*?\))"",""[i][color=#34343A]$0[/color][/i]""), ""&lt;"", ""[""), ""&gt;"", ""]""), ""[/p][p]"", ""[font_size=15]\n\n[/font_size]""), ""[br/]"", ""\n"")"),"")</f>
        <v/>
      </c>
      <c r="W164" s="6" t="str">
        <f t="shared" si="11"/>
        <v>[i][/i]</v>
      </c>
      <c r="X164" s="1" t="str">
        <f t="shared" si="12"/>
        <v>0</v>
      </c>
      <c r="Y164" s="1"/>
    </row>
    <row r="165">
      <c r="A165" s="7" t="s">
        <v>75</v>
      </c>
      <c r="B165" s="6" t="str">
        <f t="shared" si="9"/>
        <v>U</v>
      </c>
      <c r="C165" s="8"/>
      <c r="D165" s="9" t="str">
        <f>IFERROR(__xludf.DUMMYFUNCTION("IF(ISBLANK(A165),"""",SWITCH(IF(T165="""",0,COUNTA(SPLIT(T165,"" ""))),0,""Generic"",1,TRIM(T165),2,""Multicolor"",3,""Multicolor"",4,""Multicolor"",5,""Multicolor"",6,""Multicolor"",7,""Multicolor"",8,""Multicolor""))"),"Generic")</f>
        <v>Generic</v>
      </c>
      <c r="E165" s="1"/>
      <c r="F165" s="1"/>
      <c r="H165" s="10"/>
      <c r="I165" s="11"/>
      <c r="J165" s="11"/>
      <c r="K165" s="6" t="s">
        <v>39</v>
      </c>
      <c r="L165" s="6" t="s">
        <v>39</v>
      </c>
      <c r="Q165" s="7">
        <v>60</v>
      </c>
      <c r="R165" s="7">
        <v>50</v>
      </c>
      <c r="S165" s="1" t="str">
        <f t="shared" si="10"/>
        <v>False</v>
      </c>
      <c r="T165" s="6" t="str">
        <f>IFERROR(__xludf.DUMMYFUNCTION("CONCATENATE(if(REGEXMATCH(C165,""R""),"" Red"",""""),if(REGEXMATCH(C165,""O""),"" Orange"",""""),if(REGEXMATCH(C165,""Y""),"" Yellow"",""""),if(REGEXMATCH(C165,""G""),"" Green"",""""),if(REGEXMATCH(C165,""B""),"" Blue"",""""),if(REGEXMATCH(C165,""P""),"" "&amp;"Purple"",""""))"),"")</f>
        <v/>
      </c>
      <c r="U165" s="6" t="str">
        <f>IFERROR(__xludf.DUMMYFUNCTION("TRIM(CONCAT(""[right]"", REGEXREPLACE(C165, ""([ROYGBPXZC_]|1?[0-9])"", ""[img=119]res://textures/icons/$0.png[/img]\\n"")))"),"[right]")</f>
        <v>[right]</v>
      </c>
      <c r="V165" s="1" t="str">
        <f>IFERROR(__xludf.DUMMYFUNCTION("SUBSTITUTE(SUBSTITUTE(SUBSTITUTE(SUBSTITUTE(REGEXREPLACE(SUBSTITUTE(SUBSTITUTE(SUBSTITUTE(SUBSTITUTE(REGEXREPLACE(I165, ""(\[([ROYGBPTQUXZC_]|1?[0-9])\])"", ""[img=45]res://textures/icons/$2.png[/img]""),""--"",""—""),""-&gt;"",""•""),""~@"", CONCATENATE(""["&amp;"i]"",REGEXEXTRACT(B165,""^([\s\S]*),|$""),""[/i]"")),""~"", CONCATENATE(""[i]"",B165,""[/i]"")),""(\([\s\S]*?\))"",""[i][color=#34343A]$0[/color][/i]""), ""&lt;"", ""[""), ""&gt;"", ""]""), ""[/p][p]"", ""[font_size=15]\n\n[/font_size]""), ""[br/]"", ""\n"")"),"")</f>
        <v/>
      </c>
      <c r="W165" s="6" t="str">
        <f t="shared" si="11"/>
        <v>[i][/i]</v>
      </c>
      <c r="X165" s="1" t="str">
        <f t="shared" si="12"/>
        <v>0</v>
      </c>
      <c r="Y165" s="1"/>
    </row>
    <row r="166">
      <c r="A166" s="7" t="s">
        <v>76</v>
      </c>
      <c r="B166" s="6" t="str">
        <f t="shared" si="9"/>
        <v>C</v>
      </c>
      <c r="C166" s="8"/>
      <c r="D166" s="9" t="str">
        <f>IFERROR(__xludf.DUMMYFUNCTION("IF(ISBLANK(A166),"""",SWITCH(IF(T166="""",0,COUNTA(SPLIT(T166,"" ""))),0,""Generic"",1,TRIM(T166),2,""Multicolor"",3,""Multicolor"",4,""Multicolor"",5,""Multicolor"",6,""Multicolor"",7,""Multicolor"",8,""Multicolor""))"),"Generic")</f>
        <v>Generic</v>
      </c>
      <c r="E166" s="1"/>
      <c r="F166" s="1"/>
      <c r="H166" s="10"/>
      <c r="I166" s="11"/>
      <c r="J166" s="11"/>
      <c r="K166" s="6" t="s">
        <v>39</v>
      </c>
      <c r="L166" s="6" t="s">
        <v>39</v>
      </c>
      <c r="Q166" s="7">
        <v>60</v>
      </c>
      <c r="R166" s="7">
        <v>50</v>
      </c>
      <c r="S166" s="1" t="str">
        <f t="shared" si="10"/>
        <v>False</v>
      </c>
      <c r="T166" s="6" t="str">
        <f>IFERROR(__xludf.DUMMYFUNCTION("CONCATENATE(if(REGEXMATCH(C166,""R""),"" Red"",""""),if(REGEXMATCH(C166,""O""),"" Orange"",""""),if(REGEXMATCH(C166,""Y""),"" Yellow"",""""),if(REGEXMATCH(C166,""G""),"" Green"",""""),if(REGEXMATCH(C166,""B""),"" Blue"",""""),if(REGEXMATCH(C166,""P""),"" "&amp;"Purple"",""""))"),"")</f>
        <v/>
      </c>
      <c r="U166" s="6" t="str">
        <f>IFERROR(__xludf.DUMMYFUNCTION("TRIM(CONCAT(""[right]"", REGEXREPLACE(C166, ""([ROYGBPXZC_]|1?[0-9])"", ""[img=119]res://textures/icons/$0.png[/img]\\n"")))"),"[right]")</f>
        <v>[right]</v>
      </c>
      <c r="V166" s="1" t="str">
        <f>IFERROR(__xludf.DUMMYFUNCTION("SUBSTITUTE(SUBSTITUTE(SUBSTITUTE(SUBSTITUTE(REGEXREPLACE(SUBSTITUTE(SUBSTITUTE(SUBSTITUTE(SUBSTITUTE(REGEXREPLACE(I166, ""(\[([ROYGBPTQUXZC_]|1?[0-9])\])"", ""[img=45]res://textures/icons/$2.png[/img]""),""--"",""—""),""-&gt;"",""•""),""~@"", CONCATENATE(""["&amp;"i]"",REGEXEXTRACT(B166,""^([\s\S]*),|$""),""[/i]"")),""~"", CONCATENATE(""[i]"",B166,""[/i]"")),""(\([\s\S]*?\))"",""[i][color=#34343A]$0[/color][/i]""), ""&lt;"", ""[""), ""&gt;"", ""]""), ""[/p][p]"", ""[font_size=15]\n\n[/font_size]""), ""[br/]"", ""\n"")"),"")</f>
        <v/>
      </c>
      <c r="W166" s="6" t="str">
        <f t="shared" si="11"/>
        <v>[i][/i]</v>
      </c>
      <c r="X166" s="1" t="str">
        <f t="shared" si="12"/>
        <v>0</v>
      </c>
      <c r="Y166" s="1"/>
    </row>
    <row r="167">
      <c r="A167" s="7" t="s">
        <v>76</v>
      </c>
      <c r="B167" s="6" t="str">
        <f t="shared" ref="B167:B230" si="13">A167</f>
        <v>C</v>
      </c>
      <c r="C167" s="8"/>
      <c r="D167" s="9" t="str">
        <f>IFERROR(__xludf.DUMMYFUNCTION("IF(ISBLANK(A167),"""",SWITCH(IF(T167="""",0,COUNTA(SPLIT(T167,"" ""))),0,""Generic"",1,TRIM(T167),2,""Multicolor"",3,""Multicolor"",4,""Multicolor"",5,""Multicolor"",6,""Multicolor"",7,""Multicolor"",8,""Multicolor""))"),"Generic")</f>
        <v>Generic</v>
      </c>
      <c r="E167" s="1"/>
      <c r="F167" s="1"/>
      <c r="H167" s="10"/>
      <c r="I167" s="11"/>
      <c r="J167" s="11"/>
      <c r="K167" s="6" t="s">
        <v>39</v>
      </c>
      <c r="L167" s="6" t="s">
        <v>39</v>
      </c>
      <c r="Q167" s="7">
        <v>60</v>
      </c>
      <c r="R167" s="7">
        <v>50</v>
      </c>
      <c r="S167" s="1" t="str">
        <f t="shared" si="10"/>
        <v>False</v>
      </c>
      <c r="T167" s="6" t="str">
        <f>IFERROR(__xludf.DUMMYFUNCTION("CONCATENATE(if(REGEXMATCH(C167,""R""),"" Red"",""""),if(REGEXMATCH(C167,""O""),"" Orange"",""""),if(REGEXMATCH(C167,""Y""),"" Yellow"",""""),if(REGEXMATCH(C167,""G""),"" Green"",""""),if(REGEXMATCH(C167,""B""),"" Blue"",""""),if(REGEXMATCH(C167,""P""),"" "&amp;"Purple"",""""))"),"")</f>
        <v/>
      </c>
      <c r="U167" s="6" t="str">
        <f>IFERROR(__xludf.DUMMYFUNCTION("TRIM(CONCAT(""[right]"", REGEXREPLACE(C167, ""([ROYGBPXZC_]|1?[0-9])"", ""[img=119]res://textures/icons/$0.png[/img]\\n"")))"),"[right]")</f>
        <v>[right]</v>
      </c>
      <c r="V167" s="1" t="str">
        <f>IFERROR(__xludf.DUMMYFUNCTION("SUBSTITUTE(SUBSTITUTE(SUBSTITUTE(SUBSTITUTE(REGEXREPLACE(SUBSTITUTE(SUBSTITUTE(SUBSTITUTE(SUBSTITUTE(REGEXREPLACE(I167, ""(\[([ROYGBPTQUXZC_]|1?[0-9])\])"", ""[img=45]res://textures/icons/$2.png[/img]""),""--"",""—""),""-&gt;"",""•""),""~@"", CONCATENATE(""["&amp;"i]"",REGEXEXTRACT(B167,""^([\s\S]*),|$""),""[/i]"")),""~"", CONCATENATE(""[i]"",B167,""[/i]"")),""(\([\s\S]*?\))"",""[i][color=#34343A]$0[/color][/i]""), ""&lt;"", ""[""), ""&gt;"", ""]""), ""[/p][p]"", ""[font_size=15]\n\n[/font_size]""), ""[br/]"", ""\n"")"),"")</f>
        <v/>
      </c>
      <c r="W167" s="6" t="str">
        <f t="shared" si="11"/>
        <v>[i][/i]</v>
      </c>
      <c r="X167" s="1" t="str">
        <f t="shared" si="12"/>
        <v>0</v>
      </c>
      <c r="Y167" s="1"/>
    </row>
    <row r="168">
      <c r="A168" s="7" t="s">
        <v>76</v>
      </c>
      <c r="B168" s="6" t="str">
        <f t="shared" si="13"/>
        <v>C</v>
      </c>
      <c r="C168" s="8"/>
      <c r="D168" s="9" t="str">
        <f>IFERROR(__xludf.DUMMYFUNCTION("IF(ISBLANK(A168),"""",SWITCH(IF(T168="""",0,COUNTA(SPLIT(T168,"" ""))),0,""Generic"",1,TRIM(T168),2,""Multicolor"",3,""Multicolor"",4,""Multicolor"",5,""Multicolor"",6,""Multicolor"",7,""Multicolor"",8,""Multicolor""))"),"Generic")</f>
        <v>Generic</v>
      </c>
      <c r="E168" s="1"/>
      <c r="F168" s="1"/>
      <c r="H168" s="10"/>
      <c r="I168" s="11"/>
      <c r="J168" s="11"/>
      <c r="K168" s="6" t="s">
        <v>39</v>
      </c>
      <c r="L168" s="6" t="s">
        <v>39</v>
      </c>
      <c r="Q168" s="7">
        <v>60</v>
      </c>
      <c r="R168" s="7">
        <v>50</v>
      </c>
      <c r="S168" s="1" t="str">
        <f t="shared" si="10"/>
        <v>False</v>
      </c>
      <c r="T168" s="6" t="str">
        <f>IFERROR(__xludf.DUMMYFUNCTION("CONCATENATE(if(REGEXMATCH(C168,""R""),"" Red"",""""),if(REGEXMATCH(C168,""O""),"" Orange"",""""),if(REGEXMATCH(C168,""Y""),"" Yellow"",""""),if(REGEXMATCH(C168,""G""),"" Green"",""""),if(REGEXMATCH(C168,""B""),"" Blue"",""""),if(REGEXMATCH(C168,""P""),"" "&amp;"Purple"",""""))"),"")</f>
        <v/>
      </c>
      <c r="U168" s="6" t="str">
        <f>IFERROR(__xludf.DUMMYFUNCTION("TRIM(CONCAT(""[right]"", REGEXREPLACE(C168, ""([ROYGBPXZC_]|1?[0-9])"", ""[img=119]res://textures/icons/$0.png[/img]\\n"")))"),"[right]")</f>
        <v>[right]</v>
      </c>
      <c r="V168" s="1" t="str">
        <f>IFERROR(__xludf.DUMMYFUNCTION("SUBSTITUTE(SUBSTITUTE(SUBSTITUTE(SUBSTITUTE(REGEXREPLACE(SUBSTITUTE(SUBSTITUTE(SUBSTITUTE(SUBSTITUTE(REGEXREPLACE(I168, ""(\[([ROYGBPTQUXZC_]|1?[0-9])\])"", ""[img=45]res://textures/icons/$2.png[/img]""),""--"",""—""),""-&gt;"",""•""),""~@"", CONCATENATE(""["&amp;"i]"",REGEXEXTRACT(B168,""^([\s\S]*),|$""),""[/i]"")),""~"", CONCATENATE(""[i]"",B168,""[/i]"")),""(\([\s\S]*?\))"",""[i][color=#34343A]$0[/color][/i]""), ""&lt;"", ""[""), ""&gt;"", ""]""), ""[/p][p]"", ""[font_size=15]\n\n[/font_size]""), ""[br/]"", ""\n"")"),"")</f>
        <v/>
      </c>
      <c r="W168" s="6" t="str">
        <f t="shared" si="11"/>
        <v>[i][/i]</v>
      </c>
      <c r="X168" s="1" t="str">
        <f t="shared" si="12"/>
        <v>0</v>
      </c>
      <c r="Y168" s="1"/>
    </row>
    <row r="169">
      <c r="A169" s="7" t="s">
        <v>76</v>
      </c>
      <c r="B169" s="6" t="str">
        <f t="shared" si="13"/>
        <v>C</v>
      </c>
      <c r="C169" s="8"/>
      <c r="D169" s="9" t="str">
        <f>IFERROR(__xludf.DUMMYFUNCTION("IF(ISBLANK(A169),"""",SWITCH(IF(T169="""",0,COUNTA(SPLIT(T169,"" ""))),0,""Generic"",1,TRIM(T169),2,""Multicolor"",3,""Multicolor"",4,""Multicolor"",5,""Multicolor"",6,""Multicolor"",7,""Multicolor"",8,""Multicolor""))"),"Generic")</f>
        <v>Generic</v>
      </c>
      <c r="E169" s="1"/>
      <c r="F169" s="1"/>
      <c r="H169" s="10"/>
      <c r="I169" s="11"/>
      <c r="J169" s="11"/>
      <c r="K169" s="6" t="s">
        <v>39</v>
      </c>
      <c r="L169" s="6" t="s">
        <v>39</v>
      </c>
      <c r="Q169" s="7">
        <v>60</v>
      </c>
      <c r="R169" s="7">
        <v>50</v>
      </c>
      <c r="S169" s="1" t="str">
        <f t="shared" si="10"/>
        <v>False</v>
      </c>
      <c r="T169" s="6" t="str">
        <f>IFERROR(__xludf.DUMMYFUNCTION("CONCATENATE(if(REGEXMATCH(C169,""R""),"" Red"",""""),if(REGEXMATCH(C169,""O""),"" Orange"",""""),if(REGEXMATCH(C169,""Y""),"" Yellow"",""""),if(REGEXMATCH(C169,""G""),"" Green"",""""),if(REGEXMATCH(C169,""B""),"" Blue"",""""),if(REGEXMATCH(C169,""P""),"" "&amp;"Purple"",""""))"),"")</f>
        <v/>
      </c>
      <c r="U169" s="6" t="str">
        <f>IFERROR(__xludf.DUMMYFUNCTION("TRIM(CONCAT(""[right]"", REGEXREPLACE(C169, ""([ROYGBPXZC_]|1?[0-9])"", ""[img=119]res://textures/icons/$0.png[/img]\\n"")))"),"[right]")</f>
        <v>[right]</v>
      </c>
      <c r="V169" s="1" t="str">
        <f>IFERROR(__xludf.DUMMYFUNCTION("SUBSTITUTE(SUBSTITUTE(SUBSTITUTE(SUBSTITUTE(REGEXREPLACE(SUBSTITUTE(SUBSTITUTE(SUBSTITUTE(SUBSTITUTE(REGEXREPLACE(I169, ""(\[([ROYGBPTQUXZC_]|1?[0-9])\])"", ""[img=45]res://textures/icons/$2.png[/img]""),""--"",""—""),""-&gt;"",""•""),""~@"", CONCATENATE(""["&amp;"i]"",REGEXEXTRACT(B169,""^([\s\S]*),|$""),""[/i]"")),""~"", CONCATENATE(""[i]"",B169,""[/i]"")),""(\([\s\S]*?\))"",""[i][color=#34343A]$0[/color][/i]""), ""&lt;"", ""[""), ""&gt;"", ""]""), ""[/p][p]"", ""[font_size=15]\n\n[/font_size]""), ""[br/]"", ""\n"")"),"")</f>
        <v/>
      </c>
      <c r="W169" s="6" t="str">
        <f t="shared" si="11"/>
        <v>[i][/i]</v>
      </c>
      <c r="X169" s="1" t="str">
        <f t="shared" si="12"/>
        <v>0</v>
      </c>
      <c r="Y169" s="1"/>
    </row>
    <row r="170">
      <c r="A170" s="7" t="s">
        <v>76</v>
      </c>
      <c r="B170" s="6" t="str">
        <f t="shared" si="13"/>
        <v>C</v>
      </c>
      <c r="C170" s="8"/>
      <c r="D170" s="9" t="str">
        <f>IFERROR(__xludf.DUMMYFUNCTION("IF(ISBLANK(A170),"""",SWITCH(IF(T170="""",0,COUNTA(SPLIT(T170,"" ""))),0,""Generic"",1,TRIM(T170),2,""Multicolor"",3,""Multicolor"",4,""Multicolor"",5,""Multicolor"",6,""Multicolor"",7,""Multicolor"",8,""Multicolor""))"),"Generic")</f>
        <v>Generic</v>
      </c>
      <c r="E170" s="1"/>
      <c r="F170" s="1"/>
      <c r="H170" s="10"/>
      <c r="I170" s="11"/>
      <c r="J170" s="11"/>
      <c r="K170" s="6" t="s">
        <v>39</v>
      </c>
      <c r="L170" s="6" t="s">
        <v>39</v>
      </c>
      <c r="Q170" s="7">
        <v>60</v>
      </c>
      <c r="R170" s="7">
        <v>50</v>
      </c>
      <c r="S170" s="1" t="str">
        <f t="shared" si="10"/>
        <v>False</v>
      </c>
      <c r="T170" s="6" t="str">
        <f>IFERROR(__xludf.DUMMYFUNCTION("CONCATENATE(if(REGEXMATCH(C170,""R""),"" Red"",""""),if(REGEXMATCH(C170,""O""),"" Orange"",""""),if(REGEXMATCH(C170,""Y""),"" Yellow"",""""),if(REGEXMATCH(C170,""G""),"" Green"",""""),if(REGEXMATCH(C170,""B""),"" Blue"",""""),if(REGEXMATCH(C170,""P""),"" "&amp;"Purple"",""""))"),"")</f>
        <v/>
      </c>
      <c r="U170" s="6" t="str">
        <f>IFERROR(__xludf.DUMMYFUNCTION("TRIM(CONCAT(""[right]"", REGEXREPLACE(C170, ""([ROYGBPXZC_]|1?[0-9])"", ""[img=119]res://textures/icons/$0.png[/img]\\n"")))"),"[right]")</f>
        <v>[right]</v>
      </c>
      <c r="V170" s="1" t="str">
        <f>IFERROR(__xludf.DUMMYFUNCTION("SUBSTITUTE(SUBSTITUTE(SUBSTITUTE(SUBSTITUTE(REGEXREPLACE(SUBSTITUTE(SUBSTITUTE(SUBSTITUTE(SUBSTITUTE(REGEXREPLACE(I170, ""(\[([ROYGBPTQUXZC_]|1?[0-9])\])"", ""[img=45]res://textures/icons/$2.png[/img]""),""--"",""—""),""-&gt;"",""•""),""~@"", CONCATENATE(""["&amp;"i]"",REGEXEXTRACT(B170,""^([\s\S]*),|$""),""[/i]"")),""~"", CONCATENATE(""[i]"",B170,""[/i]"")),""(\([\s\S]*?\))"",""[i][color=#34343A]$0[/color][/i]""), ""&lt;"", ""[""), ""&gt;"", ""]""), ""[/p][p]"", ""[font_size=15]\n\n[/font_size]""), ""[br/]"", ""\n"")"),"")</f>
        <v/>
      </c>
      <c r="W170" s="6" t="str">
        <f t="shared" si="11"/>
        <v>[i][/i]</v>
      </c>
      <c r="X170" s="1" t="str">
        <f t="shared" si="12"/>
        <v>0</v>
      </c>
      <c r="Y170" s="1"/>
    </row>
    <row r="171">
      <c r="A171" s="7" t="s">
        <v>76</v>
      </c>
      <c r="B171" s="6" t="str">
        <f t="shared" si="13"/>
        <v>C</v>
      </c>
      <c r="C171" s="8"/>
      <c r="D171" s="9" t="str">
        <f>IFERROR(__xludf.DUMMYFUNCTION("IF(ISBLANK(A171),"""",SWITCH(IF(T171="""",0,COUNTA(SPLIT(T171,"" ""))),0,""Generic"",1,TRIM(T171),2,""Multicolor"",3,""Multicolor"",4,""Multicolor"",5,""Multicolor"",6,""Multicolor"",7,""Multicolor"",8,""Multicolor""))"),"Generic")</f>
        <v>Generic</v>
      </c>
      <c r="E171" s="1"/>
      <c r="F171" s="1"/>
      <c r="H171" s="10"/>
      <c r="I171" s="11"/>
      <c r="J171" s="11"/>
      <c r="K171" s="6" t="s">
        <v>39</v>
      </c>
      <c r="L171" s="6" t="s">
        <v>39</v>
      </c>
      <c r="Q171" s="7">
        <v>60</v>
      </c>
      <c r="R171" s="7">
        <v>50</v>
      </c>
      <c r="S171" s="1" t="str">
        <f t="shared" si="10"/>
        <v>False</v>
      </c>
      <c r="T171" s="6" t="str">
        <f>IFERROR(__xludf.DUMMYFUNCTION("CONCATENATE(if(REGEXMATCH(C171,""R""),"" Red"",""""),if(REGEXMATCH(C171,""O""),"" Orange"",""""),if(REGEXMATCH(C171,""Y""),"" Yellow"",""""),if(REGEXMATCH(C171,""G""),"" Green"",""""),if(REGEXMATCH(C171,""B""),"" Blue"",""""),if(REGEXMATCH(C171,""P""),"" "&amp;"Purple"",""""))"),"")</f>
        <v/>
      </c>
      <c r="U171" s="6" t="str">
        <f>IFERROR(__xludf.DUMMYFUNCTION("TRIM(CONCAT(""[right]"", REGEXREPLACE(C171, ""([ROYGBPXZC_]|1?[0-9])"", ""[img=119]res://textures/icons/$0.png[/img]\\n"")))"),"[right]")</f>
        <v>[right]</v>
      </c>
      <c r="V171" s="1" t="str">
        <f>IFERROR(__xludf.DUMMYFUNCTION("SUBSTITUTE(SUBSTITUTE(SUBSTITUTE(SUBSTITUTE(REGEXREPLACE(SUBSTITUTE(SUBSTITUTE(SUBSTITUTE(SUBSTITUTE(REGEXREPLACE(I171, ""(\[([ROYGBPTQUXZC_]|1?[0-9])\])"", ""[img=45]res://textures/icons/$2.png[/img]""),""--"",""—""),""-&gt;"",""•""),""~@"", CONCATENATE(""["&amp;"i]"",REGEXEXTRACT(B171,""^([\s\S]*),|$""),""[/i]"")),""~"", CONCATENATE(""[i]"",B171,""[/i]"")),""(\([\s\S]*?\))"",""[i][color=#34343A]$0[/color][/i]""), ""&lt;"", ""[""), ""&gt;"", ""]""), ""[/p][p]"", ""[font_size=15]\n\n[/font_size]""), ""[br/]"", ""\n"")"),"")</f>
        <v/>
      </c>
      <c r="W171" s="6" t="str">
        <f t="shared" si="11"/>
        <v>[i][/i]</v>
      </c>
      <c r="X171" s="1" t="str">
        <f t="shared" si="12"/>
        <v>0</v>
      </c>
      <c r="Y171" s="1"/>
    </row>
    <row r="172">
      <c r="A172" s="7" t="s">
        <v>76</v>
      </c>
      <c r="B172" s="6" t="str">
        <f t="shared" si="13"/>
        <v>C</v>
      </c>
      <c r="C172" s="8"/>
      <c r="D172" s="9" t="str">
        <f>IFERROR(__xludf.DUMMYFUNCTION("IF(ISBLANK(A172),"""",SWITCH(IF(T172="""",0,COUNTA(SPLIT(T172,"" ""))),0,""Generic"",1,TRIM(T172),2,""Multicolor"",3,""Multicolor"",4,""Multicolor"",5,""Multicolor"",6,""Multicolor"",7,""Multicolor"",8,""Multicolor""))"),"Generic")</f>
        <v>Generic</v>
      </c>
      <c r="E172" s="1"/>
      <c r="F172" s="1"/>
      <c r="H172" s="10"/>
      <c r="I172" s="11"/>
      <c r="J172" s="11"/>
      <c r="K172" s="6" t="s">
        <v>39</v>
      </c>
      <c r="L172" s="6" t="s">
        <v>39</v>
      </c>
      <c r="Q172" s="7">
        <v>60</v>
      </c>
      <c r="R172" s="7">
        <v>50</v>
      </c>
      <c r="S172" s="1" t="str">
        <f t="shared" si="10"/>
        <v>False</v>
      </c>
      <c r="T172" s="6" t="str">
        <f>IFERROR(__xludf.DUMMYFUNCTION("CONCATENATE(if(REGEXMATCH(C172,""R""),"" Red"",""""),if(REGEXMATCH(C172,""O""),"" Orange"",""""),if(REGEXMATCH(C172,""Y""),"" Yellow"",""""),if(REGEXMATCH(C172,""G""),"" Green"",""""),if(REGEXMATCH(C172,""B""),"" Blue"",""""),if(REGEXMATCH(C172,""P""),"" "&amp;"Purple"",""""))"),"")</f>
        <v/>
      </c>
      <c r="U172" s="6" t="str">
        <f>IFERROR(__xludf.DUMMYFUNCTION("TRIM(CONCAT(""[right]"", REGEXREPLACE(C172, ""([ROYGBPXZC_]|1?[0-9])"", ""[img=119]res://textures/icons/$0.png[/img]\\n"")))"),"[right]")</f>
        <v>[right]</v>
      </c>
      <c r="V172" s="1" t="str">
        <f>IFERROR(__xludf.DUMMYFUNCTION("SUBSTITUTE(SUBSTITUTE(SUBSTITUTE(SUBSTITUTE(REGEXREPLACE(SUBSTITUTE(SUBSTITUTE(SUBSTITUTE(SUBSTITUTE(REGEXREPLACE(I172, ""(\[([ROYGBPTQUXZC_]|1?[0-9])\])"", ""[img=45]res://textures/icons/$2.png[/img]""),""--"",""—""),""-&gt;"",""•""),""~@"", CONCATENATE(""["&amp;"i]"",REGEXEXTRACT(B172,""^([\s\S]*),|$""),""[/i]"")),""~"", CONCATENATE(""[i]"",B172,""[/i]"")),""(\([\s\S]*?\))"",""[i][color=#34343A]$0[/color][/i]""), ""&lt;"", ""[""), ""&gt;"", ""]""), ""[/p][p]"", ""[font_size=15]\n\n[/font_size]""), ""[br/]"", ""\n"")"),"")</f>
        <v/>
      </c>
      <c r="W172" s="6" t="str">
        <f t="shared" si="11"/>
        <v>[i][/i]</v>
      </c>
      <c r="X172" s="1" t="str">
        <f t="shared" si="12"/>
        <v>0</v>
      </c>
      <c r="Y172" s="1"/>
    </row>
    <row r="173">
      <c r="A173" s="7" t="s">
        <v>76</v>
      </c>
      <c r="B173" s="6" t="str">
        <f t="shared" si="13"/>
        <v>C</v>
      </c>
      <c r="C173" s="8"/>
      <c r="D173" s="9" t="str">
        <f>IFERROR(__xludf.DUMMYFUNCTION("IF(ISBLANK(A173),"""",SWITCH(IF(T173="""",0,COUNTA(SPLIT(T173,"" ""))),0,""Generic"",1,TRIM(T173),2,""Multicolor"",3,""Multicolor"",4,""Multicolor"",5,""Multicolor"",6,""Multicolor"",7,""Multicolor"",8,""Multicolor""))"),"Generic")</f>
        <v>Generic</v>
      </c>
      <c r="E173" s="1"/>
      <c r="F173" s="1"/>
      <c r="H173" s="10"/>
      <c r="I173" s="11"/>
      <c r="J173" s="11"/>
      <c r="K173" s="6" t="s">
        <v>39</v>
      </c>
      <c r="L173" s="6" t="s">
        <v>39</v>
      </c>
      <c r="Q173" s="7">
        <v>60</v>
      </c>
      <c r="R173" s="7">
        <v>50</v>
      </c>
      <c r="S173" s="1" t="str">
        <f t="shared" si="10"/>
        <v>False</v>
      </c>
      <c r="T173" s="6" t="str">
        <f>IFERROR(__xludf.DUMMYFUNCTION("CONCATENATE(if(REGEXMATCH(C173,""R""),"" Red"",""""),if(REGEXMATCH(C173,""O""),"" Orange"",""""),if(REGEXMATCH(C173,""Y""),"" Yellow"",""""),if(REGEXMATCH(C173,""G""),"" Green"",""""),if(REGEXMATCH(C173,""B""),"" Blue"",""""),if(REGEXMATCH(C173,""P""),"" "&amp;"Purple"",""""))"),"")</f>
        <v/>
      </c>
      <c r="U173" s="6" t="str">
        <f>IFERROR(__xludf.DUMMYFUNCTION("TRIM(CONCAT(""[right]"", REGEXREPLACE(C173, ""([ROYGBPXZC_]|1?[0-9])"", ""[img=119]res://textures/icons/$0.png[/img]\\n"")))"),"[right]")</f>
        <v>[right]</v>
      </c>
      <c r="V173" s="1" t="str">
        <f>IFERROR(__xludf.DUMMYFUNCTION("SUBSTITUTE(SUBSTITUTE(SUBSTITUTE(SUBSTITUTE(REGEXREPLACE(SUBSTITUTE(SUBSTITUTE(SUBSTITUTE(SUBSTITUTE(REGEXREPLACE(I173, ""(\[([ROYGBPTQUXZC_]|1?[0-9])\])"", ""[img=45]res://textures/icons/$2.png[/img]""),""--"",""—""),""-&gt;"",""•""),""~@"", CONCATENATE(""["&amp;"i]"",REGEXEXTRACT(B173,""^([\s\S]*),|$""),""[/i]"")),""~"", CONCATENATE(""[i]"",B173,""[/i]"")),""(\([\s\S]*?\))"",""[i][color=#34343A]$0[/color][/i]""), ""&lt;"", ""[""), ""&gt;"", ""]""), ""[/p][p]"", ""[font_size=15]\n\n[/font_size]""), ""[br/]"", ""\n"")"),"")</f>
        <v/>
      </c>
      <c r="W173" s="6" t="str">
        <f t="shared" si="11"/>
        <v>[i][/i]</v>
      </c>
      <c r="X173" s="1" t="str">
        <f t="shared" si="12"/>
        <v>0</v>
      </c>
      <c r="Y173" s="1"/>
    </row>
    <row r="174">
      <c r="A174" s="7" t="s">
        <v>76</v>
      </c>
      <c r="B174" s="6" t="str">
        <f t="shared" si="13"/>
        <v>C</v>
      </c>
      <c r="C174" s="8"/>
      <c r="D174" s="9" t="str">
        <f>IFERROR(__xludf.DUMMYFUNCTION("IF(ISBLANK(A174),"""",SWITCH(IF(T174="""",0,COUNTA(SPLIT(T174,"" ""))),0,""Generic"",1,TRIM(T174),2,""Multicolor"",3,""Multicolor"",4,""Multicolor"",5,""Multicolor"",6,""Multicolor"",7,""Multicolor"",8,""Multicolor""))"),"Generic")</f>
        <v>Generic</v>
      </c>
      <c r="E174" s="1"/>
      <c r="F174" s="1"/>
      <c r="H174" s="10"/>
      <c r="I174" s="11"/>
      <c r="J174" s="11"/>
      <c r="K174" s="6" t="s">
        <v>39</v>
      </c>
      <c r="L174" s="6" t="s">
        <v>39</v>
      </c>
      <c r="Q174" s="7">
        <v>60</v>
      </c>
      <c r="R174" s="7">
        <v>50</v>
      </c>
      <c r="S174" s="1" t="str">
        <f t="shared" si="10"/>
        <v>False</v>
      </c>
      <c r="T174" s="6" t="str">
        <f>IFERROR(__xludf.DUMMYFUNCTION("CONCATENATE(if(REGEXMATCH(C174,""R""),"" Red"",""""),if(REGEXMATCH(C174,""O""),"" Orange"",""""),if(REGEXMATCH(C174,""Y""),"" Yellow"",""""),if(REGEXMATCH(C174,""G""),"" Green"",""""),if(REGEXMATCH(C174,""B""),"" Blue"",""""),if(REGEXMATCH(C174,""P""),"" "&amp;"Purple"",""""))"),"")</f>
        <v/>
      </c>
      <c r="U174" s="6" t="str">
        <f>IFERROR(__xludf.DUMMYFUNCTION("TRIM(CONCAT(""[right]"", REGEXREPLACE(C174, ""([ROYGBPXZC_]|1?[0-9])"", ""[img=119]res://textures/icons/$0.png[/img]\\n"")))"),"[right]")</f>
        <v>[right]</v>
      </c>
      <c r="V174" s="1" t="str">
        <f>IFERROR(__xludf.DUMMYFUNCTION("SUBSTITUTE(SUBSTITUTE(SUBSTITUTE(SUBSTITUTE(REGEXREPLACE(SUBSTITUTE(SUBSTITUTE(SUBSTITUTE(SUBSTITUTE(REGEXREPLACE(I174, ""(\[([ROYGBPTQUXZC_]|1?[0-9])\])"", ""[img=45]res://textures/icons/$2.png[/img]""),""--"",""—""),""-&gt;"",""•""),""~@"", CONCATENATE(""["&amp;"i]"",REGEXEXTRACT(B174,""^([\s\S]*),|$""),""[/i]"")),""~"", CONCATENATE(""[i]"",B174,""[/i]"")),""(\([\s\S]*?\))"",""[i][color=#34343A]$0[/color][/i]""), ""&lt;"", ""[""), ""&gt;"", ""]""), ""[/p][p]"", ""[font_size=15]\n\n[/font_size]""), ""[br/]"", ""\n"")"),"")</f>
        <v/>
      </c>
      <c r="W174" s="6" t="str">
        <f t="shared" si="11"/>
        <v>[i][/i]</v>
      </c>
      <c r="X174" s="1" t="str">
        <f t="shared" si="12"/>
        <v>0</v>
      </c>
      <c r="Y174" s="1"/>
    </row>
    <row r="175">
      <c r="A175" s="7" t="s">
        <v>364</v>
      </c>
      <c r="B175" s="7" t="str">
        <f t="shared" si="13"/>
        <v>M_CMDR_OP_001</v>
      </c>
      <c r="C175" s="8"/>
      <c r="D175" s="9" t="str">
        <f>IFERROR(__xludf.DUMMYFUNCTION("IF(ISBLANK(A175),"""",SWITCH(IF(T175="""",0,COUNTA(SPLIT(T175,"" ""))),0,""Generic"",1,TRIM(T175),2,""Multicolor"",3,""Multicolor"",4,""Multicolor"",5,""Multicolor"",6,""Multicolor"",7,""Multicolor"",8,""Multicolor""))"),"Generic")</f>
        <v>Generic</v>
      </c>
      <c r="E175" s="1"/>
      <c r="F175" s="1"/>
      <c r="G175" s="7" t="s">
        <v>365</v>
      </c>
      <c r="H175" s="10" t="s">
        <v>365</v>
      </c>
      <c r="I175" s="11" t="s">
        <v>365</v>
      </c>
      <c r="J175" s="11" t="s">
        <v>365</v>
      </c>
      <c r="K175" s="6" t="e">
        <v>#VALUE!</v>
      </c>
      <c r="L175" s="6" t="e">
        <v>#VALUE!</v>
      </c>
      <c r="O175" s="7" t="s">
        <v>365</v>
      </c>
      <c r="Q175" s="7">
        <v>60</v>
      </c>
      <c r="R175" s="7">
        <v>50</v>
      </c>
      <c r="S175" s="1" t="str">
        <f t="shared" si="10"/>
        <v>#VALUE!</v>
      </c>
      <c r="T175" s="6" t="str">
        <f>IFERROR(__xludf.DUMMYFUNCTION("CONCATENATE(if(REGEXMATCH(C175,""R""),"" Red"",""""),if(REGEXMATCH(C175,""O""),"" Orange"",""""),if(REGEXMATCH(C175,""Y""),"" Yellow"",""""),if(REGEXMATCH(C175,""G""),"" Green"",""""),if(REGEXMATCH(C175,""B""),"" Blue"",""""),if(REGEXMATCH(C175,""P""),"" "&amp;"Purple"",""""))"),"")</f>
        <v/>
      </c>
      <c r="U175" s="6" t="str">
        <f>IFERROR(__xludf.DUMMYFUNCTION("TRIM(CONCAT(""[right]"", REGEXREPLACE(C175, ""([ROYGBPXZC_]|1?[0-9])"", ""[img=119]res://textures/icons/$0.png[/img]\\n"")))"),"[right]")</f>
        <v>[right]</v>
      </c>
      <c r="V175" s="1" t="str">
        <f>IFERROR(__xludf.DUMMYFUNCTION("SUBSTITUTE(SUBSTITUTE(SUBSTITUTE(SUBSTITUTE(REGEXREPLACE(SUBSTITUTE(SUBSTITUTE(SUBSTITUTE(SUBSTITUTE(REGEXREPLACE(I175, ""(\[([ROYGBPTQUXZC_]|1?[0-9])\])"", ""[img=45]res://textures/icons/$2.png[/img]""),""--"",""—""),""-&gt;"",""•""),""~@"", CONCATENATE(""["&amp;"i]"",REGEXEXTRACT(B175,""^([\s\S]*),|$""),""[/i]"")),""~"", CONCATENATE(""[i]"",B175,""[/i]"")),""(\([\s\S]*?\))"",""[i][color=#34343A]$0[/color][/i]""), ""&lt;"", ""[""), ""&gt;"", ""]""), ""[/p][p]"", ""[font_size=15]\n\n[/font_size]""), ""[br/]"", ""\n"")"),"Virus/Hacker midrange")</f>
        <v xml:space="preserve">Virus/Hacker midrange</v>
      </c>
      <c r="W175" s="6" t="str">
        <f t="shared" si="11"/>
        <v>[i][/i]</v>
      </c>
      <c r="X175" s="1" t="str">
        <f t="shared" si="12"/>
        <v>0</v>
      </c>
      <c r="Y175" s="1"/>
    </row>
    <row r="176">
      <c r="A176" s="7" t="s">
        <v>177</v>
      </c>
      <c r="B176" s="6" t="str">
        <f t="shared" si="13"/>
        <v>Y</v>
      </c>
      <c r="C176" s="8"/>
      <c r="D176" s="9" t="str">
        <f>IFERROR(__xludf.DUMMYFUNCTION("IF(ISBLANK(A176),"""",SWITCH(IF(T176="""",0,COUNTA(SPLIT(T176,"" ""))),0,""Generic"",1,TRIM(T176),2,""Multicolor"",3,""Multicolor"",4,""Multicolor"",5,""Multicolor"",6,""Multicolor"",7,""Multicolor"",8,""Multicolor""))"),"Generic")</f>
        <v>Generic</v>
      </c>
      <c r="E176" s="1"/>
      <c r="F176" s="1"/>
      <c r="H176" s="10"/>
      <c r="I176" s="11"/>
      <c r="J176" s="11"/>
      <c r="K176" s="6" t="s">
        <v>39</v>
      </c>
      <c r="L176" s="6" t="s">
        <v>39</v>
      </c>
      <c r="O176" s="11"/>
      <c r="Q176" s="7">
        <v>60</v>
      </c>
      <c r="R176" s="7">
        <v>50</v>
      </c>
      <c r="S176" s="1" t="str">
        <f t="shared" si="10"/>
        <v>False</v>
      </c>
      <c r="T176" s="6" t="str">
        <f>IFERROR(__xludf.DUMMYFUNCTION("CONCATENATE(if(REGEXMATCH(C176,""R""),"" Red"",""""),if(REGEXMATCH(C176,""O""),"" Orange"",""""),if(REGEXMATCH(C176,""Y""),"" Yellow"",""""),if(REGEXMATCH(C176,""G""),"" Green"",""""),if(REGEXMATCH(C176,""B""),"" Blue"",""""),if(REGEXMATCH(C176,""P""),"" "&amp;"Purple"",""""))"),"")</f>
        <v/>
      </c>
      <c r="U176" s="6" t="str">
        <f>IFERROR(__xludf.DUMMYFUNCTION("TRIM(CONCAT(""[right]"", REGEXREPLACE(C176, ""([ROYGBPXZC_]|1?[0-9])"", ""[img=119]res://textures/icons/$0.png[/img]\\n"")))"),"[right]")</f>
        <v>[right]</v>
      </c>
      <c r="V176" s="1" t="str">
        <f>IFERROR(__xludf.DUMMYFUNCTION("SUBSTITUTE(SUBSTITUTE(SUBSTITUTE(SUBSTITUTE(REGEXREPLACE(SUBSTITUTE(SUBSTITUTE(SUBSTITUTE(SUBSTITUTE(REGEXREPLACE(I176, ""(\[([ROYGBPTQUXZC_]|1?[0-9])\])"", ""[img=45]res://textures/icons/$2.png[/img]""),""--"",""—""),""-&gt;"",""•""),""~@"", CONCATENATE(""["&amp;"i]"",REGEXEXTRACT(B176,""^([\s\S]*),|$""),""[/i]"")),""~"", CONCATENATE(""[i]"",B176,""[/i]"")),""(\([\s\S]*?\))"",""[i][color=#34343A]$0[/color][/i]""), ""&lt;"", ""[""), ""&gt;"", ""]""), ""[/p][p]"", ""[font_size=15]\n\n[/font_size]""), ""[br/]"", ""\n"")"),"")</f>
        <v/>
      </c>
      <c r="W176" s="6" t="str">
        <f t="shared" si="11"/>
        <v>[i][/i]</v>
      </c>
      <c r="X176" s="1" t="str">
        <f t="shared" si="12"/>
        <v>0</v>
      </c>
      <c r="Y176" s="1"/>
    </row>
    <row r="177">
      <c r="A177" s="7" t="s">
        <v>177</v>
      </c>
      <c r="B177" s="6" t="str">
        <f t="shared" si="13"/>
        <v>Y</v>
      </c>
      <c r="C177" s="8"/>
      <c r="D177" s="9" t="str">
        <f>IFERROR(__xludf.DUMMYFUNCTION("IF(ISBLANK(A177),"""",SWITCH(IF(T177="""",0,COUNTA(SPLIT(T177,"" ""))),0,""Generic"",1,TRIM(T177),2,""Multicolor"",3,""Multicolor"",4,""Multicolor"",5,""Multicolor"",6,""Multicolor"",7,""Multicolor"",8,""Multicolor""))"),"Generic")</f>
        <v>Generic</v>
      </c>
      <c r="E177" s="1"/>
      <c r="F177" s="1"/>
      <c r="H177" s="10"/>
      <c r="I177" s="11"/>
      <c r="J177" s="11"/>
      <c r="K177" s="6" t="s">
        <v>39</v>
      </c>
      <c r="L177" s="6" t="s">
        <v>39</v>
      </c>
      <c r="O177" s="11"/>
      <c r="Q177" s="7">
        <v>60</v>
      </c>
      <c r="R177" s="7">
        <v>50</v>
      </c>
      <c r="S177" s="1" t="str">
        <f t="shared" si="10"/>
        <v>False</v>
      </c>
      <c r="T177" s="6" t="str">
        <f>IFERROR(__xludf.DUMMYFUNCTION("CONCATENATE(if(REGEXMATCH(C177,""R""),"" Red"",""""),if(REGEXMATCH(C177,""O""),"" Orange"",""""),if(REGEXMATCH(C177,""Y""),"" Yellow"",""""),if(REGEXMATCH(C177,""G""),"" Green"",""""),if(REGEXMATCH(C177,""B""),"" Blue"",""""),if(REGEXMATCH(C177,""P""),"" "&amp;"Purple"",""""))"),"")</f>
        <v/>
      </c>
      <c r="U177" s="6" t="str">
        <f>IFERROR(__xludf.DUMMYFUNCTION("TRIM(CONCAT(""[right]"", REGEXREPLACE(C177, ""([ROYGBPXZC_]|1?[0-9])"", ""[img=119]res://textures/icons/$0.png[/img]\\n"")))"),"[right]")</f>
        <v>[right]</v>
      </c>
      <c r="V177" s="1" t="str">
        <f>IFERROR(__xludf.DUMMYFUNCTION("SUBSTITUTE(SUBSTITUTE(SUBSTITUTE(SUBSTITUTE(REGEXREPLACE(SUBSTITUTE(SUBSTITUTE(SUBSTITUTE(SUBSTITUTE(REGEXREPLACE(I177, ""(\[([ROYGBPTQUXZC_]|1?[0-9])\])"", ""[img=45]res://textures/icons/$2.png[/img]""),""--"",""—""),""-&gt;"",""•""),""~@"", CONCATENATE(""["&amp;"i]"",REGEXEXTRACT(B177,""^([\s\S]*),|$""),""[/i]"")),""~"", CONCATENATE(""[i]"",B177,""[/i]"")),""(\([\s\S]*?\))"",""[i][color=#34343A]$0[/color][/i]""), ""&lt;"", ""[""), ""&gt;"", ""]""), ""[/p][p]"", ""[font_size=15]\n\n[/font_size]""), ""[br/]"", ""\n"")"),"")</f>
        <v/>
      </c>
      <c r="W177" s="6" t="str">
        <f t="shared" si="11"/>
        <v>[i][/i]</v>
      </c>
      <c r="X177" s="1" t="str">
        <f t="shared" si="12"/>
        <v>0</v>
      </c>
      <c r="Y177" s="1"/>
    </row>
    <row r="178">
      <c r="A178" s="7" t="s">
        <v>177</v>
      </c>
      <c r="B178" s="6" t="str">
        <f t="shared" si="13"/>
        <v>Y</v>
      </c>
      <c r="C178" s="8"/>
      <c r="D178" s="9" t="str">
        <f>IFERROR(__xludf.DUMMYFUNCTION("IF(ISBLANK(A178),"""",SWITCH(IF(T178="""",0,COUNTA(SPLIT(T178,"" ""))),0,""Generic"",1,TRIM(T178),2,""Multicolor"",3,""Multicolor"",4,""Multicolor"",5,""Multicolor"",6,""Multicolor"",7,""Multicolor"",8,""Multicolor""))"),"Generic")</f>
        <v>Generic</v>
      </c>
      <c r="E178" s="1"/>
      <c r="F178" s="1"/>
      <c r="H178" s="10"/>
      <c r="I178" s="11"/>
      <c r="J178" s="11"/>
      <c r="K178" s="6" t="s">
        <v>39</v>
      </c>
      <c r="L178" s="6" t="s">
        <v>39</v>
      </c>
      <c r="Q178" s="7">
        <v>60</v>
      </c>
      <c r="R178" s="7">
        <v>50</v>
      </c>
      <c r="S178" s="1" t="str">
        <f t="shared" si="10"/>
        <v>False</v>
      </c>
      <c r="T178" s="6" t="str">
        <f>IFERROR(__xludf.DUMMYFUNCTION("CONCATENATE(if(REGEXMATCH(C178,""R""),"" Red"",""""),if(REGEXMATCH(C178,""O""),"" Orange"",""""),if(REGEXMATCH(C178,""Y""),"" Yellow"",""""),if(REGEXMATCH(C178,""G""),"" Green"",""""),if(REGEXMATCH(C178,""B""),"" Blue"",""""),if(REGEXMATCH(C178,""P""),"" "&amp;"Purple"",""""))"),"")</f>
        <v/>
      </c>
      <c r="U178" s="6" t="str">
        <f>IFERROR(__xludf.DUMMYFUNCTION("TRIM(CONCAT(""[right]"", REGEXREPLACE(C178, ""([ROYGBPXZC_]|1?[0-9])"", ""[img=119]res://textures/icons/$0.png[/img]\\n"")))"),"[right]")</f>
        <v>[right]</v>
      </c>
      <c r="V178" s="1" t="str">
        <f>IFERROR(__xludf.DUMMYFUNCTION("SUBSTITUTE(SUBSTITUTE(SUBSTITUTE(SUBSTITUTE(REGEXREPLACE(SUBSTITUTE(SUBSTITUTE(SUBSTITUTE(SUBSTITUTE(REGEXREPLACE(I178, ""(\[([ROYGBPTQUXZC_]|1?[0-9])\])"", ""[img=45]res://textures/icons/$2.png[/img]""),""--"",""—""),""-&gt;"",""•""),""~@"", CONCATENATE(""["&amp;"i]"",REGEXEXTRACT(B178,""^([\s\S]*),|$""),""[/i]"")),""~"", CONCATENATE(""[i]"",B178,""[/i]"")),""(\([\s\S]*?\))"",""[i][color=#34343A]$0[/color][/i]""), ""&lt;"", ""[""), ""&gt;"", ""]""), ""[/p][p]"", ""[font_size=15]\n\n[/font_size]""), ""[br/]"", ""\n"")"),"")</f>
        <v/>
      </c>
      <c r="W178" s="6" t="str">
        <f t="shared" si="11"/>
        <v>[i][/i]</v>
      </c>
      <c r="X178" s="1" t="str">
        <f t="shared" si="12"/>
        <v>0</v>
      </c>
      <c r="Y178" s="1"/>
    </row>
    <row r="179">
      <c r="A179" s="7" t="s">
        <v>177</v>
      </c>
      <c r="B179" s="6" t="str">
        <f t="shared" si="13"/>
        <v>Y</v>
      </c>
      <c r="C179" s="8"/>
      <c r="D179" s="9" t="str">
        <f>IFERROR(__xludf.DUMMYFUNCTION("IF(ISBLANK(A179),"""",SWITCH(IF(T179="""",0,COUNTA(SPLIT(T179,"" ""))),0,""Generic"",1,TRIM(T179),2,""Multicolor"",3,""Multicolor"",4,""Multicolor"",5,""Multicolor"",6,""Multicolor"",7,""Multicolor"",8,""Multicolor""))"),"Generic")</f>
        <v>Generic</v>
      </c>
      <c r="E179" s="1"/>
      <c r="F179" s="1"/>
      <c r="H179" s="10"/>
      <c r="I179" s="11"/>
      <c r="J179" s="11"/>
      <c r="K179" s="6" t="s">
        <v>39</v>
      </c>
      <c r="L179" s="6" t="s">
        <v>39</v>
      </c>
      <c r="Q179" s="7">
        <v>60</v>
      </c>
      <c r="R179" s="7">
        <v>50</v>
      </c>
      <c r="S179" s="1" t="str">
        <f t="shared" si="10"/>
        <v>False</v>
      </c>
      <c r="T179" s="6" t="str">
        <f>IFERROR(__xludf.DUMMYFUNCTION("CONCATENATE(if(REGEXMATCH(C179,""R""),"" Red"",""""),if(REGEXMATCH(C179,""O""),"" Orange"",""""),if(REGEXMATCH(C179,""Y""),"" Yellow"",""""),if(REGEXMATCH(C179,""G""),"" Green"",""""),if(REGEXMATCH(C179,""B""),"" Blue"",""""),if(REGEXMATCH(C179,""P""),"" "&amp;"Purple"",""""))"),"")</f>
        <v/>
      </c>
      <c r="U179" s="6" t="str">
        <f>IFERROR(__xludf.DUMMYFUNCTION("TRIM(CONCAT(""[right]"", REGEXREPLACE(C179, ""([ROYGBPXZC_]|1?[0-9])"", ""[img=119]res://textures/icons/$0.png[/img]\\n"")))"),"[right]")</f>
        <v>[right]</v>
      </c>
      <c r="V179" s="1" t="str">
        <f>IFERROR(__xludf.DUMMYFUNCTION("SUBSTITUTE(SUBSTITUTE(SUBSTITUTE(SUBSTITUTE(REGEXREPLACE(SUBSTITUTE(SUBSTITUTE(SUBSTITUTE(SUBSTITUTE(REGEXREPLACE(I179, ""(\[([ROYGBPTQUXZC_]|1?[0-9])\])"", ""[img=45]res://textures/icons/$2.png[/img]""),""--"",""—""),""-&gt;"",""•""),""~@"", CONCATENATE(""["&amp;"i]"",REGEXEXTRACT(B179,""^([\s\S]*),|$""),""[/i]"")),""~"", CONCATENATE(""[i]"",B179,""[/i]"")),""(\([\s\S]*?\))"",""[i][color=#34343A]$0[/color][/i]""), ""&lt;"", ""[""), ""&gt;"", ""]""), ""[/p][p]"", ""[font_size=15]\n\n[/font_size]""), ""[br/]"", ""\n"")"),"")</f>
        <v/>
      </c>
      <c r="W179" s="6" t="str">
        <f t="shared" si="11"/>
        <v>[i][/i]</v>
      </c>
      <c r="X179" s="1" t="str">
        <f t="shared" si="12"/>
        <v>0</v>
      </c>
      <c r="Y179" s="1"/>
    </row>
    <row r="180">
      <c r="A180" s="7" t="s">
        <v>75</v>
      </c>
      <c r="B180" s="6" t="str">
        <f t="shared" si="13"/>
        <v>U</v>
      </c>
      <c r="C180" s="8"/>
      <c r="D180" s="9" t="str">
        <f>IFERROR(__xludf.DUMMYFUNCTION("IF(ISBLANK(A180),"""",SWITCH(IF(T180="""",0,COUNTA(SPLIT(T180,"" ""))),0,""Generic"",1,TRIM(T180),2,""Multicolor"",3,""Multicolor"",4,""Multicolor"",5,""Multicolor"",6,""Multicolor"",7,""Multicolor"",8,""Multicolor""))"),"Generic")</f>
        <v>Generic</v>
      </c>
      <c r="E180" s="1"/>
      <c r="F180" s="1"/>
      <c r="H180" s="10"/>
      <c r="I180" s="11"/>
      <c r="J180" s="11"/>
      <c r="K180" s="6" t="s">
        <v>39</v>
      </c>
      <c r="L180" s="6" t="s">
        <v>39</v>
      </c>
      <c r="Q180" s="7">
        <v>60</v>
      </c>
      <c r="R180" s="7">
        <v>50</v>
      </c>
      <c r="S180" s="1" t="str">
        <f t="shared" si="10"/>
        <v>False</v>
      </c>
      <c r="T180" s="6" t="str">
        <f>IFERROR(__xludf.DUMMYFUNCTION("CONCATENATE(if(REGEXMATCH(C180,""R""),"" Red"",""""),if(REGEXMATCH(C180,""O""),"" Orange"",""""),if(REGEXMATCH(C180,""Y""),"" Yellow"",""""),if(REGEXMATCH(C180,""G""),"" Green"",""""),if(REGEXMATCH(C180,""B""),"" Blue"",""""),if(REGEXMATCH(C180,""P""),"" "&amp;"Purple"",""""))"),"")</f>
        <v/>
      </c>
      <c r="U180" s="6" t="str">
        <f>IFERROR(__xludf.DUMMYFUNCTION("TRIM(CONCAT(""[right]"", REGEXREPLACE(C180, ""([ROYGBPXZC_]|1?[0-9])"", ""[img=119]res://textures/icons/$0.png[/img]\\n"")))"),"[right]")</f>
        <v>[right]</v>
      </c>
      <c r="V180" s="1" t="str">
        <f>IFERROR(__xludf.DUMMYFUNCTION("SUBSTITUTE(SUBSTITUTE(SUBSTITUTE(SUBSTITUTE(REGEXREPLACE(SUBSTITUTE(SUBSTITUTE(SUBSTITUTE(SUBSTITUTE(REGEXREPLACE(I180, ""(\[([ROYGBPTQUXZC_]|1?[0-9])\])"", ""[img=45]res://textures/icons/$2.png[/img]""),""--"",""—""),""-&gt;"",""•""),""~@"", CONCATENATE(""["&amp;"i]"",REGEXEXTRACT(B180,""^([\s\S]*),|$""),""[/i]"")),""~"", CONCATENATE(""[i]"",B180,""[/i]"")),""(\([\s\S]*?\))"",""[i][color=#34343A]$0[/color][/i]""), ""&lt;"", ""[""), ""&gt;"", ""]""), ""[/p][p]"", ""[font_size=15]\n\n[/font_size]""), ""[br/]"", ""\n"")"),"")</f>
        <v/>
      </c>
      <c r="W180" s="6" t="str">
        <f t="shared" si="11"/>
        <v>[i][/i]</v>
      </c>
      <c r="X180" s="1" t="str">
        <f t="shared" si="12"/>
        <v>0</v>
      </c>
      <c r="Y180" s="1"/>
    </row>
    <row r="181">
      <c r="A181" s="7" t="s">
        <v>75</v>
      </c>
      <c r="B181" s="6" t="str">
        <f t="shared" si="13"/>
        <v>U</v>
      </c>
      <c r="C181" s="8"/>
      <c r="D181" s="9" t="str">
        <f>IFERROR(__xludf.DUMMYFUNCTION("IF(ISBLANK(A181),"""",SWITCH(IF(T181="""",0,COUNTA(SPLIT(T181,"" ""))),0,""Generic"",1,TRIM(T181),2,""Multicolor"",3,""Multicolor"",4,""Multicolor"",5,""Multicolor"",6,""Multicolor"",7,""Multicolor"",8,""Multicolor""))"),"Generic")</f>
        <v>Generic</v>
      </c>
      <c r="E181" s="1"/>
      <c r="F181" s="1"/>
      <c r="H181" s="10"/>
      <c r="I181" s="11"/>
      <c r="J181" s="11"/>
      <c r="K181" s="6" t="s">
        <v>39</v>
      </c>
      <c r="L181" s="6" t="s">
        <v>39</v>
      </c>
      <c r="Q181" s="7">
        <v>60</v>
      </c>
      <c r="R181" s="7">
        <v>50</v>
      </c>
      <c r="S181" s="1" t="str">
        <f t="shared" si="10"/>
        <v>False</v>
      </c>
      <c r="T181" s="6" t="str">
        <f>IFERROR(__xludf.DUMMYFUNCTION("CONCATENATE(if(REGEXMATCH(C181,""R""),"" Red"",""""),if(REGEXMATCH(C181,""O""),"" Orange"",""""),if(REGEXMATCH(C181,""Y""),"" Yellow"",""""),if(REGEXMATCH(C181,""G""),"" Green"",""""),if(REGEXMATCH(C181,""B""),"" Blue"",""""),if(REGEXMATCH(C181,""P""),"" "&amp;"Purple"",""""))"),"")</f>
        <v/>
      </c>
      <c r="U181" s="6" t="str">
        <f>IFERROR(__xludf.DUMMYFUNCTION("TRIM(CONCAT(""[right]"", REGEXREPLACE(C181, ""([ROYGBPXZC_]|1?[0-9])"", ""[img=119]res://textures/icons/$0.png[/img]\\n"")))"),"[right]")</f>
        <v>[right]</v>
      </c>
      <c r="V181" s="1" t="str">
        <f>IFERROR(__xludf.DUMMYFUNCTION("SUBSTITUTE(SUBSTITUTE(SUBSTITUTE(SUBSTITUTE(REGEXREPLACE(SUBSTITUTE(SUBSTITUTE(SUBSTITUTE(SUBSTITUTE(REGEXREPLACE(I181, ""(\[([ROYGBPTQUXZC_]|1?[0-9])\])"", ""[img=45]res://textures/icons/$2.png[/img]""),""--"",""—""),""-&gt;"",""•""),""~@"", CONCATENATE(""["&amp;"i]"",REGEXEXTRACT(B181,""^([\s\S]*),|$""),""[/i]"")),""~"", CONCATENATE(""[i]"",B181,""[/i]"")),""(\([\s\S]*?\))"",""[i][color=#34343A]$0[/color][/i]""), ""&lt;"", ""[""), ""&gt;"", ""]""), ""[/p][p]"", ""[font_size=15]\n\n[/font_size]""), ""[br/]"", ""\n"")"),"")</f>
        <v/>
      </c>
      <c r="W181" s="6" t="str">
        <f t="shared" si="11"/>
        <v>[i][/i]</v>
      </c>
      <c r="X181" s="1" t="str">
        <f t="shared" si="12"/>
        <v>0</v>
      </c>
      <c r="Y181" s="1"/>
    </row>
    <row r="182">
      <c r="A182" s="7" t="s">
        <v>75</v>
      </c>
      <c r="B182" s="6" t="str">
        <f t="shared" si="13"/>
        <v>U</v>
      </c>
      <c r="C182" s="8"/>
      <c r="D182" s="9" t="str">
        <f>IFERROR(__xludf.DUMMYFUNCTION("IF(ISBLANK(A182),"""",SWITCH(IF(T182="""",0,COUNTA(SPLIT(T182,"" ""))),0,""Generic"",1,TRIM(T182),2,""Multicolor"",3,""Multicolor"",4,""Multicolor"",5,""Multicolor"",6,""Multicolor"",7,""Multicolor"",8,""Multicolor""))"),"Generic")</f>
        <v>Generic</v>
      </c>
      <c r="E182" s="1"/>
      <c r="F182" s="1"/>
      <c r="H182" s="10"/>
      <c r="I182" s="11"/>
      <c r="J182" s="11"/>
      <c r="K182" s="6" t="s">
        <v>39</v>
      </c>
      <c r="L182" s="6" t="s">
        <v>39</v>
      </c>
      <c r="Q182" s="7">
        <v>60</v>
      </c>
      <c r="R182" s="7">
        <v>50</v>
      </c>
      <c r="S182" s="1" t="str">
        <f t="shared" si="10"/>
        <v>False</v>
      </c>
      <c r="T182" s="6" t="str">
        <f>IFERROR(__xludf.DUMMYFUNCTION("CONCATENATE(if(REGEXMATCH(C182,""R""),"" Red"",""""),if(REGEXMATCH(C182,""O""),"" Orange"",""""),if(REGEXMATCH(C182,""Y""),"" Yellow"",""""),if(REGEXMATCH(C182,""G""),"" Green"",""""),if(REGEXMATCH(C182,""B""),"" Blue"",""""),if(REGEXMATCH(C182,""P""),"" "&amp;"Purple"",""""))"),"")</f>
        <v/>
      </c>
      <c r="U182" s="6" t="str">
        <f>IFERROR(__xludf.DUMMYFUNCTION("TRIM(CONCAT(""[right]"", REGEXREPLACE(C182, ""([ROYGBPXZC_]|1?[0-9])"", ""[img=119]res://textures/icons/$0.png[/img]\\n"")))"),"[right]")</f>
        <v>[right]</v>
      </c>
      <c r="V182" s="1" t="str">
        <f>IFERROR(__xludf.DUMMYFUNCTION("SUBSTITUTE(SUBSTITUTE(SUBSTITUTE(SUBSTITUTE(REGEXREPLACE(SUBSTITUTE(SUBSTITUTE(SUBSTITUTE(SUBSTITUTE(REGEXREPLACE(I182, ""(\[([ROYGBPTQUXZC_]|1?[0-9])\])"", ""[img=45]res://textures/icons/$2.png[/img]""),""--"",""—""),""-&gt;"",""•""),""~@"", CONCATENATE(""["&amp;"i]"",REGEXEXTRACT(B182,""^([\s\S]*),|$""),""[/i]"")),""~"", CONCATENATE(""[i]"",B182,""[/i]"")),""(\([\s\S]*?\))"",""[i][color=#34343A]$0[/color][/i]""), ""&lt;"", ""[""), ""&gt;"", ""]""), ""[/p][p]"", ""[font_size=15]\n\n[/font_size]""), ""[br/]"", ""\n"")"),"")</f>
        <v/>
      </c>
      <c r="W182" s="6" t="str">
        <f t="shared" si="11"/>
        <v>[i][/i]</v>
      </c>
      <c r="X182" s="1" t="str">
        <f t="shared" si="12"/>
        <v>0</v>
      </c>
      <c r="Y182" s="1"/>
    </row>
    <row r="183">
      <c r="A183" s="7" t="s">
        <v>75</v>
      </c>
      <c r="B183" s="6" t="str">
        <f t="shared" si="13"/>
        <v>U</v>
      </c>
      <c r="C183" s="8"/>
      <c r="D183" s="9" t="str">
        <f>IFERROR(__xludf.DUMMYFUNCTION("IF(ISBLANK(A183),"""",SWITCH(IF(T183="""",0,COUNTA(SPLIT(T183,"" ""))),0,""Generic"",1,TRIM(T183),2,""Multicolor"",3,""Multicolor"",4,""Multicolor"",5,""Multicolor"",6,""Multicolor"",7,""Multicolor"",8,""Multicolor""))"),"Generic")</f>
        <v>Generic</v>
      </c>
      <c r="E183" s="1"/>
      <c r="F183" s="1"/>
      <c r="H183" s="10"/>
      <c r="I183" s="11"/>
      <c r="J183" s="11"/>
      <c r="K183" s="6" t="s">
        <v>39</v>
      </c>
      <c r="L183" s="6" t="s">
        <v>39</v>
      </c>
      <c r="Q183" s="7">
        <v>60</v>
      </c>
      <c r="R183" s="7">
        <v>50</v>
      </c>
      <c r="S183" s="1" t="str">
        <f t="shared" si="10"/>
        <v>False</v>
      </c>
      <c r="T183" s="6" t="str">
        <f>IFERROR(__xludf.DUMMYFUNCTION("CONCATENATE(if(REGEXMATCH(C183,""R""),"" Red"",""""),if(REGEXMATCH(C183,""O""),"" Orange"",""""),if(REGEXMATCH(C183,""Y""),"" Yellow"",""""),if(REGEXMATCH(C183,""G""),"" Green"",""""),if(REGEXMATCH(C183,""B""),"" Blue"",""""),if(REGEXMATCH(C183,""P""),"" "&amp;"Purple"",""""))"),"")</f>
        <v/>
      </c>
      <c r="U183" s="6" t="str">
        <f>IFERROR(__xludf.DUMMYFUNCTION("TRIM(CONCAT(""[right]"", REGEXREPLACE(C183, ""([ROYGBPXZC_]|1?[0-9])"", ""[img=119]res://textures/icons/$0.png[/img]\\n"")))"),"[right]")</f>
        <v>[right]</v>
      </c>
      <c r="V183" s="1" t="str">
        <f>IFERROR(__xludf.DUMMYFUNCTION("SUBSTITUTE(SUBSTITUTE(SUBSTITUTE(SUBSTITUTE(REGEXREPLACE(SUBSTITUTE(SUBSTITUTE(SUBSTITUTE(SUBSTITUTE(REGEXREPLACE(I183, ""(\[([ROYGBPTQUXZC_]|1?[0-9])\])"", ""[img=45]res://textures/icons/$2.png[/img]""),""--"",""—""),""-&gt;"",""•""),""~@"", CONCATENATE(""["&amp;"i]"",REGEXEXTRACT(B183,""^([\s\S]*),|$""),""[/i]"")),""~"", CONCATENATE(""[i]"",B183,""[/i]"")),""(\([\s\S]*?\))"",""[i][color=#34343A]$0[/color][/i]""), ""&lt;"", ""[""), ""&gt;"", ""]""), ""[/p][p]"", ""[font_size=15]\n\n[/font_size]""), ""[br/]"", ""\n"")"),"")</f>
        <v/>
      </c>
      <c r="W183" s="6" t="str">
        <f t="shared" si="11"/>
        <v>[i][/i]</v>
      </c>
      <c r="X183" s="1" t="str">
        <f t="shared" si="12"/>
        <v>0</v>
      </c>
      <c r="Y183" s="1"/>
    </row>
    <row r="184">
      <c r="A184" s="7" t="s">
        <v>75</v>
      </c>
      <c r="B184" s="6" t="str">
        <f t="shared" si="13"/>
        <v>U</v>
      </c>
      <c r="C184" s="8"/>
      <c r="D184" s="9" t="str">
        <f>IFERROR(__xludf.DUMMYFUNCTION("IF(ISBLANK(A184),"""",SWITCH(IF(T184="""",0,COUNTA(SPLIT(T184,"" ""))),0,""Generic"",1,TRIM(T184),2,""Multicolor"",3,""Multicolor"",4,""Multicolor"",5,""Multicolor"",6,""Multicolor"",7,""Multicolor"",8,""Multicolor""))"),"Generic")</f>
        <v>Generic</v>
      </c>
      <c r="E184" s="1"/>
      <c r="F184" s="1"/>
      <c r="H184" s="10"/>
      <c r="I184" s="11"/>
      <c r="J184" s="11"/>
      <c r="K184" s="6" t="s">
        <v>39</v>
      </c>
      <c r="L184" s="6" t="s">
        <v>39</v>
      </c>
      <c r="Q184" s="7">
        <v>60</v>
      </c>
      <c r="R184" s="7">
        <v>50</v>
      </c>
      <c r="S184" s="1" t="str">
        <f t="shared" si="10"/>
        <v>False</v>
      </c>
      <c r="T184" s="6" t="str">
        <f>IFERROR(__xludf.DUMMYFUNCTION("CONCATENATE(if(REGEXMATCH(C184,""R""),"" Red"",""""),if(REGEXMATCH(C184,""O""),"" Orange"",""""),if(REGEXMATCH(C184,""Y""),"" Yellow"",""""),if(REGEXMATCH(C184,""G""),"" Green"",""""),if(REGEXMATCH(C184,""B""),"" Blue"",""""),if(REGEXMATCH(C184,""P""),"" "&amp;"Purple"",""""))"),"")</f>
        <v/>
      </c>
      <c r="U184" s="6" t="str">
        <f>IFERROR(__xludf.DUMMYFUNCTION("TRIM(CONCAT(""[right]"", REGEXREPLACE(C184, ""([ROYGBPXZC_]|1?[0-9])"", ""[img=119]res://textures/icons/$0.png[/img]\\n"")))"),"[right]")</f>
        <v>[right]</v>
      </c>
      <c r="V184" s="1" t="str">
        <f>IFERROR(__xludf.DUMMYFUNCTION("SUBSTITUTE(SUBSTITUTE(SUBSTITUTE(SUBSTITUTE(REGEXREPLACE(SUBSTITUTE(SUBSTITUTE(SUBSTITUTE(SUBSTITUTE(REGEXREPLACE(I184, ""(\[([ROYGBPTQUXZC_]|1?[0-9])\])"", ""[img=45]res://textures/icons/$2.png[/img]""),""--"",""—""),""-&gt;"",""•""),""~@"", CONCATENATE(""["&amp;"i]"",REGEXEXTRACT(B184,""^([\s\S]*),|$""),""[/i]"")),""~"", CONCATENATE(""[i]"",B184,""[/i]"")),""(\([\s\S]*?\))"",""[i][color=#34343A]$0[/color][/i]""), ""&lt;"", ""[""), ""&gt;"", ""]""), ""[/p][p]"", ""[font_size=15]\n\n[/font_size]""), ""[br/]"", ""\n"")"),"")</f>
        <v/>
      </c>
      <c r="W184" s="6" t="str">
        <f t="shared" si="11"/>
        <v>[i][/i]</v>
      </c>
      <c r="X184" s="1" t="str">
        <f t="shared" si="12"/>
        <v>0</v>
      </c>
      <c r="Y184" s="1"/>
    </row>
    <row r="185">
      <c r="A185" s="7" t="s">
        <v>75</v>
      </c>
      <c r="B185" s="6" t="str">
        <f t="shared" si="13"/>
        <v>U</v>
      </c>
      <c r="C185" s="8"/>
      <c r="D185" s="9" t="str">
        <f>IFERROR(__xludf.DUMMYFUNCTION("IF(ISBLANK(A185),"""",SWITCH(IF(T185="""",0,COUNTA(SPLIT(T185,"" ""))),0,""Generic"",1,TRIM(T185),2,""Multicolor"",3,""Multicolor"",4,""Multicolor"",5,""Multicolor"",6,""Multicolor"",7,""Multicolor"",8,""Multicolor""))"),"Generic")</f>
        <v>Generic</v>
      </c>
      <c r="E185" s="1"/>
      <c r="F185" s="1"/>
      <c r="H185" s="10"/>
      <c r="I185" s="11"/>
      <c r="J185" s="11"/>
      <c r="K185" s="6" t="s">
        <v>39</v>
      </c>
      <c r="L185" s="6" t="s">
        <v>39</v>
      </c>
      <c r="Q185" s="7">
        <v>60</v>
      </c>
      <c r="R185" s="7">
        <v>50</v>
      </c>
      <c r="S185" s="1" t="str">
        <f t="shared" si="10"/>
        <v>False</v>
      </c>
      <c r="T185" s="6" t="str">
        <f>IFERROR(__xludf.DUMMYFUNCTION("CONCATENATE(if(REGEXMATCH(C185,""R""),"" Red"",""""),if(REGEXMATCH(C185,""O""),"" Orange"",""""),if(REGEXMATCH(C185,""Y""),"" Yellow"",""""),if(REGEXMATCH(C185,""G""),"" Green"",""""),if(REGEXMATCH(C185,""B""),"" Blue"",""""),if(REGEXMATCH(C185,""P""),"" "&amp;"Purple"",""""))"),"")</f>
        <v/>
      </c>
      <c r="U185" s="6" t="str">
        <f>IFERROR(__xludf.DUMMYFUNCTION("TRIM(CONCAT(""[right]"", REGEXREPLACE(C185, ""([ROYGBPXZC_]|1?[0-9])"", ""[img=119]res://textures/icons/$0.png[/img]\\n"")))"),"[right]")</f>
        <v>[right]</v>
      </c>
      <c r="V185" s="1" t="str">
        <f>IFERROR(__xludf.DUMMYFUNCTION("SUBSTITUTE(SUBSTITUTE(SUBSTITUTE(SUBSTITUTE(REGEXREPLACE(SUBSTITUTE(SUBSTITUTE(SUBSTITUTE(SUBSTITUTE(REGEXREPLACE(I185, ""(\[([ROYGBPTQUXZC_]|1?[0-9])\])"", ""[img=45]res://textures/icons/$2.png[/img]""),""--"",""—""),""-&gt;"",""•""),""~@"", CONCATENATE(""["&amp;"i]"",REGEXEXTRACT(B185,""^([\s\S]*),|$""),""[/i]"")),""~"", CONCATENATE(""[i]"",B185,""[/i]"")),""(\([\s\S]*?\))"",""[i][color=#34343A]$0[/color][/i]""), ""&lt;"", ""[""), ""&gt;"", ""]""), ""[/p][p]"", ""[font_size=15]\n\n[/font_size]""), ""[br/]"", ""\n"")"),"")</f>
        <v/>
      </c>
      <c r="W185" s="6" t="str">
        <f t="shared" si="11"/>
        <v>[i][/i]</v>
      </c>
      <c r="X185" s="1" t="str">
        <f t="shared" si="12"/>
        <v>0</v>
      </c>
      <c r="Y185" s="1"/>
    </row>
    <row r="186">
      <c r="A186" s="7" t="s">
        <v>76</v>
      </c>
      <c r="B186" s="6" t="str">
        <f t="shared" si="13"/>
        <v>C</v>
      </c>
      <c r="C186" s="8"/>
      <c r="D186" s="9" t="str">
        <f>IFERROR(__xludf.DUMMYFUNCTION("IF(ISBLANK(A186),"""",SWITCH(IF(T186="""",0,COUNTA(SPLIT(T186,"" ""))),0,""Generic"",1,TRIM(T186),2,""Multicolor"",3,""Multicolor"",4,""Multicolor"",5,""Multicolor"",6,""Multicolor"",7,""Multicolor"",8,""Multicolor""))"),"Generic")</f>
        <v>Generic</v>
      </c>
      <c r="E186" s="1"/>
      <c r="F186" s="1"/>
      <c r="H186" s="10"/>
      <c r="I186" s="11"/>
      <c r="J186" s="11"/>
      <c r="K186" s="6" t="s">
        <v>39</v>
      </c>
      <c r="L186" s="6" t="s">
        <v>39</v>
      </c>
      <c r="Q186" s="7">
        <v>60</v>
      </c>
      <c r="R186" s="7">
        <v>50</v>
      </c>
      <c r="S186" s="1" t="str">
        <f t="shared" si="10"/>
        <v>False</v>
      </c>
      <c r="T186" s="6" t="str">
        <f>IFERROR(__xludf.DUMMYFUNCTION("CONCATENATE(if(REGEXMATCH(C186,""R""),"" Red"",""""),if(REGEXMATCH(C186,""O""),"" Orange"",""""),if(REGEXMATCH(C186,""Y""),"" Yellow"",""""),if(REGEXMATCH(C186,""G""),"" Green"",""""),if(REGEXMATCH(C186,""B""),"" Blue"",""""),if(REGEXMATCH(C186,""P""),"" "&amp;"Purple"",""""))"),"")</f>
        <v/>
      </c>
      <c r="U186" s="6" t="str">
        <f>IFERROR(__xludf.DUMMYFUNCTION("TRIM(CONCAT(""[right]"", REGEXREPLACE(C186, ""([ROYGBPXZC_]|1?[0-9])"", ""[img=119]res://textures/icons/$0.png[/img]\\n"")))"),"[right]")</f>
        <v>[right]</v>
      </c>
      <c r="V186" s="1" t="str">
        <f>IFERROR(__xludf.DUMMYFUNCTION("SUBSTITUTE(SUBSTITUTE(SUBSTITUTE(SUBSTITUTE(REGEXREPLACE(SUBSTITUTE(SUBSTITUTE(SUBSTITUTE(SUBSTITUTE(REGEXREPLACE(I186, ""(\[([ROYGBPTQUXZC_]|1?[0-9])\])"", ""[img=45]res://textures/icons/$2.png[/img]""),""--"",""—""),""-&gt;"",""•""),""~@"", CONCATENATE(""["&amp;"i]"",REGEXEXTRACT(B186,""^([\s\S]*),|$""),""[/i]"")),""~"", CONCATENATE(""[i]"",B186,""[/i]"")),""(\([\s\S]*?\))"",""[i][color=#34343A]$0[/color][/i]""), ""&lt;"", ""[""), ""&gt;"", ""]""), ""[/p][p]"", ""[font_size=15]\n\n[/font_size]""), ""[br/]"", ""\n"")"),"")</f>
        <v/>
      </c>
      <c r="W186" s="6" t="str">
        <f t="shared" si="11"/>
        <v>[i][/i]</v>
      </c>
      <c r="X186" s="1" t="str">
        <f t="shared" si="12"/>
        <v>0</v>
      </c>
      <c r="Y186" s="1"/>
    </row>
    <row r="187">
      <c r="A187" s="7" t="s">
        <v>76</v>
      </c>
      <c r="B187" s="6" t="str">
        <f t="shared" si="13"/>
        <v>C</v>
      </c>
      <c r="C187" s="8"/>
      <c r="D187" s="9" t="str">
        <f>IFERROR(__xludf.DUMMYFUNCTION("IF(ISBLANK(A187),"""",SWITCH(IF(T187="""",0,COUNTA(SPLIT(T187,"" ""))),0,""Generic"",1,TRIM(T187),2,""Multicolor"",3,""Multicolor"",4,""Multicolor"",5,""Multicolor"",6,""Multicolor"",7,""Multicolor"",8,""Multicolor""))"),"Generic")</f>
        <v>Generic</v>
      </c>
      <c r="E187" s="1"/>
      <c r="F187" s="1"/>
      <c r="H187" s="10"/>
      <c r="I187" s="11"/>
      <c r="J187" s="11"/>
      <c r="K187" s="6" t="s">
        <v>39</v>
      </c>
      <c r="L187" s="6" t="s">
        <v>39</v>
      </c>
      <c r="Q187" s="7">
        <v>60</v>
      </c>
      <c r="R187" s="7">
        <v>50</v>
      </c>
      <c r="S187" s="1" t="str">
        <f t="shared" si="10"/>
        <v>False</v>
      </c>
      <c r="T187" s="6" t="str">
        <f>IFERROR(__xludf.DUMMYFUNCTION("CONCATENATE(if(REGEXMATCH(C187,""R""),"" Red"",""""),if(REGEXMATCH(C187,""O""),"" Orange"",""""),if(REGEXMATCH(C187,""Y""),"" Yellow"",""""),if(REGEXMATCH(C187,""G""),"" Green"",""""),if(REGEXMATCH(C187,""B""),"" Blue"",""""),if(REGEXMATCH(C187,""P""),"" "&amp;"Purple"",""""))"),"")</f>
        <v/>
      </c>
      <c r="U187" s="6" t="str">
        <f>IFERROR(__xludf.DUMMYFUNCTION("TRIM(CONCAT(""[right]"", REGEXREPLACE(C187, ""([ROYGBPXZC_]|1?[0-9])"", ""[img=119]res://textures/icons/$0.png[/img]\\n"")))"),"[right]")</f>
        <v>[right]</v>
      </c>
      <c r="V187" s="1" t="str">
        <f>IFERROR(__xludf.DUMMYFUNCTION("SUBSTITUTE(SUBSTITUTE(SUBSTITUTE(SUBSTITUTE(REGEXREPLACE(SUBSTITUTE(SUBSTITUTE(SUBSTITUTE(SUBSTITUTE(REGEXREPLACE(I187, ""(\[([ROYGBPTQUXZC_]|1?[0-9])\])"", ""[img=45]res://textures/icons/$2.png[/img]""),""--"",""—""),""-&gt;"",""•""),""~@"", CONCATENATE(""["&amp;"i]"",REGEXEXTRACT(B187,""^([\s\S]*),|$""),""[/i]"")),""~"", CONCATENATE(""[i]"",B187,""[/i]"")),""(\([\s\S]*?\))"",""[i][color=#34343A]$0[/color][/i]""), ""&lt;"", ""[""), ""&gt;"", ""]""), ""[/p][p]"", ""[font_size=15]\n\n[/font_size]""), ""[br/]"", ""\n"")"),"")</f>
        <v/>
      </c>
      <c r="W187" s="6" t="str">
        <f t="shared" si="11"/>
        <v>[i][/i]</v>
      </c>
      <c r="X187" s="1" t="str">
        <f t="shared" si="12"/>
        <v>0</v>
      </c>
      <c r="Y187" s="1"/>
    </row>
    <row r="188">
      <c r="A188" s="7" t="s">
        <v>76</v>
      </c>
      <c r="B188" s="6" t="str">
        <f t="shared" si="13"/>
        <v>C</v>
      </c>
      <c r="C188" s="8"/>
      <c r="D188" s="9" t="str">
        <f>IFERROR(__xludf.DUMMYFUNCTION("IF(ISBLANK(A188),"""",SWITCH(IF(T188="""",0,COUNTA(SPLIT(T188,"" ""))),0,""Generic"",1,TRIM(T188),2,""Multicolor"",3,""Multicolor"",4,""Multicolor"",5,""Multicolor"",6,""Multicolor"",7,""Multicolor"",8,""Multicolor""))"),"Generic")</f>
        <v>Generic</v>
      </c>
      <c r="E188" s="1"/>
      <c r="F188" s="1"/>
      <c r="H188" s="10"/>
      <c r="I188" s="11"/>
      <c r="J188" s="11"/>
      <c r="K188" s="6" t="s">
        <v>39</v>
      </c>
      <c r="L188" s="6" t="s">
        <v>39</v>
      </c>
      <c r="Q188" s="7">
        <v>60</v>
      </c>
      <c r="R188" s="7">
        <v>50</v>
      </c>
      <c r="S188" s="1" t="str">
        <f t="shared" si="10"/>
        <v>False</v>
      </c>
      <c r="T188" s="6" t="str">
        <f>IFERROR(__xludf.DUMMYFUNCTION("CONCATENATE(if(REGEXMATCH(C188,""R""),"" Red"",""""),if(REGEXMATCH(C188,""O""),"" Orange"",""""),if(REGEXMATCH(C188,""Y""),"" Yellow"",""""),if(REGEXMATCH(C188,""G""),"" Green"",""""),if(REGEXMATCH(C188,""B""),"" Blue"",""""),if(REGEXMATCH(C188,""P""),"" "&amp;"Purple"",""""))"),"")</f>
        <v/>
      </c>
      <c r="U188" s="6" t="str">
        <f>IFERROR(__xludf.DUMMYFUNCTION("TRIM(CONCAT(""[right]"", REGEXREPLACE(C188, ""([ROYGBPXZC_]|1?[0-9])"", ""[img=119]res://textures/icons/$0.png[/img]\\n"")))"),"[right]")</f>
        <v>[right]</v>
      </c>
      <c r="V188" s="1" t="str">
        <f>IFERROR(__xludf.DUMMYFUNCTION("SUBSTITUTE(SUBSTITUTE(SUBSTITUTE(SUBSTITUTE(REGEXREPLACE(SUBSTITUTE(SUBSTITUTE(SUBSTITUTE(SUBSTITUTE(REGEXREPLACE(I188, ""(\[([ROYGBPTQUXZC_]|1?[0-9])\])"", ""[img=45]res://textures/icons/$2.png[/img]""),""--"",""—""),""-&gt;"",""•""),""~@"", CONCATENATE(""["&amp;"i]"",REGEXEXTRACT(B188,""^([\s\S]*),|$""),""[/i]"")),""~"", CONCATENATE(""[i]"",B188,""[/i]"")),""(\([\s\S]*?\))"",""[i][color=#34343A]$0[/color][/i]""), ""&lt;"", ""[""), ""&gt;"", ""]""), ""[/p][p]"", ""[font_size=15]\n\n[/font_size]""), ""[br/]"", ""\n"")"),"")</f>
        <v/>
      </c>
      <c r="W188" s="6" t="str">
        <f t="shared" si="11"/>
        <v>[i][/i]</v>
      </c>
      <c r="X188" s="1" t="str">
        <f t="shared" si="12"/>
        <v>0</v>
      </c>
      <c r="Y188" s="1"/>
    </row>
    <row r="189">
      <c r="A189" s="7" t="s">
        <v>76</v>
      </c>
      <c r="B189" s="6" t="str">
        <f t="shared" si="13"/>
        <v>C</v>
      </c>
      <c r="C189" s="8"/>
      <c r="D189" s="9" t="str">
        <f>IFERROR(__xludf.DUMMYFUNCTION("IF(ISBLANK(A189),"""",SWITCH(IF(T189="""",0,COUNTA(SPLIT(T189,"" ""))),0,""Generic"",1,TRIM(T189),2,""Multicolor"",3,""Multicolor"",4,""Multicolor"",5,""Multicolor"",6,""Multicolor"",7,""Multicolor"",8,""Multicolor""))"),"Generic")</f>
        <v>Generic</v>
      </c>
      <c r="E189" s="1"/>
      <c r="F189" s="1"/>
      <c r="H189" s="10"/>
      <c r="I189" s="11"/>
      <c r="J189" s="11"/>
      <c r="K189" s="6" t="s">
        <v>39</v>
      </c>
      <c r="L189" s="6" t="s">
        <v>39</v>
      </c>
      <c r="Q189" s="7">
        <v>60</v>
      </c>
      <c r="R189" s="7">
        <v>50</v>
      </c>
      <c r="S189" s="1" t="str">
        <f t="shared" si="10"/>
        <v>False</v>
      </c>
      <c r="T189" s="6" t="str">
        <f>IFERROR(__xludf.DUMMYFUNCTION("CONCATENATE(if(REGEXMATCH(C189,""R""),"" Red"",""""),if(REGEXMATCH(C189,""O""),"" Orange"",""""),if(REGEXMATCH(C189,""Y""),"" Yellow"",""""),if(REGEXMATCH(C189,""G""),"" Green"",""""),if(REGEXMATCH(C189,""B""),"" Blue"",""""),if(REGEXMATCH(C189,""P""),"" "&amp;"Purple"",""""))"),"")</f>
        <v/>
      </c>
      <c r="U189" s="6" t="str">
        <f>IFERROR(__xludf.DUMMYFUNCTION("TRIM(CONCAT(""[right]"", REGEXREPLACE(C189, ""([ROYGBPXZC_]|1?[0-9])"", ""[img=119]res://textures/icons/$0.png[/img]\\n"")))"),"[right]")</f>
        <v>[right]</v>
      </c>
      <c r="V189" s="1" t="str">
        <f>IFERROR(__xludf.DUMMYFUNCTION("SUBSTITUTE(SUBSTITUTE(SUBSTITUTE(SUBSTITUTE(REGEXREPLACE(SUBSTITUTE(SUBSTITUTE(SUBSTITUTE(SUBSTITUTE(REGEXREPLACE(I189, ""(\[([ROYGBPTQUXZC_]|1?[0-9])\])"", ""[img=45]res://textures/icons/$2.png[/img]""),""--"",""—""),""-&gt;"",""•""),""~@"", CONCATENATE(""["&amp;"i]"",REGEXEXTRACT(B189,""^([\s\S]*),|$""),""[/i]"")),""~"", CONCATENATE(""[i]"",B189,""[/i]"")),""(\([\s\S]*?\))"",""[i][color=#34343A]$0[/color][/i]""), ""&lt;"", ""[""), ""&gt;"", ""]""), ""[/p][p]"", ""[font_size=15]\n\n[/font_size]""), ""[br/]"", ""\n"")"),"")</f>
        <v/>
      </c>
      <c r="W189" s="6" t="str">
        <f t="shared" si="11"/>
        <v>[i][/i]</v>
      </c>
      <c r="X189" s="1" t="str">
        <f t="shared" si="12"/>
        <v>0</v>
      </c>
      <c r="Y189" s="1"/>
    </row>
    <row r="190">
      <c r="A190" s="7" t="s">
        <v>76</v>
      </c>
      <c r="B190" s="6" t="str">
        <f t="shared" si="13"/>
        <v>C</v>
      </c>
      <c r="C190" s="8"/>
      <c r="D190" s="9" t="str">
        <f>IFERROR(__xludf.DUMMYFUNCTION("IF(ISBLANK(A190),"""",SWITCH(IF(T190="""",0,COUNTA(SPLIT(T190,"" ""))),0,""Generic"",1,TRIM(T190),2,""Multicolor"",3,""Multicolor"",4,""Multicolor"",5,""Multicolor"",6,""Multicolor"",7,""Multicolor"",8,""Multicolor""))"),"Generic")</f>
        <v>Generic</v>
      </c>
      <c r="E190" s="1"/>
      <c r="F190" s="1"/>
      <c r="H190" s="10"/>
      <c r="I190" s="11"/>
      <c r="J190" s="11"/>
      <c r="K190" s="6" t="s">
        <v>39</v>
      </c>
      <c r="L190" s="6" t="s">
        <v>39</v>
      </c>
      <c r="Q190" s="7">
        <v>60</v>
      </c>
      <c r="R190" s="7">
        <v>50</v>
      </c>
      <c r="S190" s="1" t="str">
        <f t="shared" si="10"/>
        <v>False</v>
      </c>
      <c r="T190" s="6" t="str">
        <f>IFERROR(__xludf.DUMMYFUNCTION("CONCATENATE(if(REGEXMATCH(C190,""R""),"" Red"",""""),if(REGEXMATCH(C190,""O""),"" Orange"",""""),if(REGEXMATCH(C190,""Y""),"" Yellow"",""""),if(REGEXMATCH(C190,""G""),"" Green"",""""),if(REGEXMATCH(C190,""B""),"" Blue"",""""),if(REGEXMATCH(C190,""P""),"" "&amp;"Purple"",""""))"),"")</f>
        <v/>
      </c>
      <c r="U190" s="6" t="str">
        <f>IFERROR(__xludf.DUMMYFUNCTION("TRIM(CONCAT(""[right]"", REGEXREPLACE(C190, ""([ROYGBPXZC_]|1?[0-9])"", ""[img=119]res://textures/icons/$0.png[/img]\\n"")))"),"[right]")</f>
        <v>[right]</v>
      </c>
      <c r="V190" s="1" t="str">
        <f>IFERROR(__xludf.DUMMYFUNCTION("SUBSTITUTE(SUBSTITUTE(SUBSTITUTE(SUBSTITUTE(REGEXREPLACE(SUBSTITUTE(SUBSTITUTE(SUBSTITUTE(SUBSTITUTE(REGEXREPLACE(I190, ""(\[([ROYGBPTQUXZC_]|1?[0-9])\])"", ""[img=45]res://textures/icons/$2.png[/img]""),""--"",""—""),""-&gt;"",""•""),""~@"", CONCATENATE(""["&amp;"i]"",REGEXEXTRACT(B190,""^([\s\S]*),|$""),""[/i]"")),""~"", CONCATENATE(""[i]"",B190,""[/i]"")),""(\([\s\S]*?\))"",""[i][color=#34343A]$0[/color][/i]""), ""&lt;"", ""[""), ""&gt;"", ""]""), ""[/p][p]"", ""[font_size=15]\n\n[/font_size]""), ""[br/]"", ""\n"")"),"")</f>
        <v/>
      </c>
      <c r="W190" s="6" t="str">
        <f t="shared" si="11"/>
        <v>[i][/i]</v>
      </c>
      <c r="X190" s="1" t="str">
        <f t="shared" si="12"/>
        <v>0</v>
      </c>
      <c r="Y190" s="1"/>
    </row>
    <row r="191">
      <c r="A191" s="7" t="s">
        <v>76</v>
      </c>
      <c r="B191" s="6" t="str">
        <f t="shared" si="13"/>
        <v>C</v>
      </c>
      <c r="C191" s="8"/>
      <c r="D191" s="9" t="str">
        <f>IFERROR(__xludf.DUMMYFUNCTION("IF(ISBLANK(A191),"""",SWITCH(IF(T191="""",0,COUNTA(SPLIT(T191,"" ""))),0,""Generic"",1,TRIM(T191),2,""Multicolor"",3,""Multicolor"",4,""Multicolor"",5,""Multicolor"",6,""Multicolor"",7,""Multicolor"",8,""Multicolor""))"),"Generic")</f>
        <v>Generic</v>
      </c>
      <c r="E191" s="1"/>
      <c r="F191" s="1"/>
      <c r="H191" s="10"/>
      <c r="I191" s="11"/>
      <c r="J191" s="11"/>
      <c r="K191" s="6" t="s">
        <v>39</v>
      </c>
      <c r="L191" s="6" t="s">
        <v>39</v>
      </c>
      <c r="Q191" s="7">
        <v>60</v>
      </c>
      <c r="R191" s="7">
        <v>50</v>
      </c>
      <c r="S191" s="1" t="str">
        <f t="shared" si="10"/>
        <v>False</v>
      </c>
      <c r="T191" s="6" t="str">
        <f>IFERROR(__xludf.DUMMYFUNCTION("CONCATENATE(if(REGEXMATCH(C191,""R""),"" Red"",""""),if(REGEXMATCH(C191,""O""),"" Orange"",""""),if(REGEXMATCH(C191,""Y""),"" Yellow"",""""),if(REGEXMATCH(C191,""G""),"" Green"",""""),if(REGEXMATCH(C191,""B""),"" Blue"",""""),if(REGEXMATCH(C191,""P""),"" "&amp;"Purple"",""""))"),"")</f>
        <v/>
      </c>
      <c r="U191" s="6" t="str">
        <f>IFERROR(__xludf.DUMMYFUNCTION("TRIM(CONCAT(""[right]"", REGEXREPLACE(C191, ""([ROYGBPXZC_]|1?[0-9])"", ""[img=119]res://textures/icons/$0.png[/img]\\n"")))"),"[right]")</f>
        <v>[right]</v>
      </c>
      <c r="V191" s="1" t="str">
        <f>IFERROR(__xludf.DUMMYFUNCTION("SUBSTITUTE(SUBSTITUTE(SUBSTITUTE(SUBSTITUTE(REGEXREPLACE(SUBSTITUTE(SUBSTITUTE(SUBSTITUTE(SUBSTITUTE(REGEXREPLACE(I191, ""(\[([ROYGBPTQUXZC_]|1?[0-9])\])"", ""[img=45]res://textures/icons/$2.png[/img]""),""--"",""—""),""-&gt;"",""•""),""~@"", CONCATENATE(""["&amp;"i]"",REGEXEXTRACT(B191,""^([\s\S]*),|$""),""[/i]"")),""~"", CONCATENATE(""[i]"",B191,""[/i]"")),""(\([\s\S]*?\))"",""[i][color=#34343A]$0[/color][/i]""), ""&lt;"", ""[""), ""&gt;"", ""]""), ""[/p][p]"", ""[font_size=15]\n\n[/font_size]""), ""[br/]"", ""\n"")"),"")</f>
        <v/>
      </c>
      <c r="W191" s="6" t="str">
        <f t="shared" si="11"/>
        <v>[i][/i]</v>
      </c>
      <c r="X191" s="1" t="str">
        <f t="shared" si="12"/>
        <v>0</v>
      </c>
      <c r="Y191" s="1"/>
    </row>
    <row r="192">
      <c r="A192" s="7" t="s">
        <v>76</v>
      </c>
      <c r="B192" s="6" t="str">
        <f t="shared" si="13"/>
        <v>C</v>
      </c>
      <c r="C192" s="8"/>
      <c r="D192" s="9" t="str">
        <f>IFERROR(__xludf.DUMMYFUNCTION("IF(ISBLANK(A192),"""",SWITCH(IF(T192="""",0,COUNTA(SPLIT(T192,"" ""))),0,""Generic"",1,TRIM(T192),2,""Multicolor"",3,""Multicolor"",4,""Multicolor"",5,""Multicolor"",6,""Multicolor"",7,""Multicolor"",8,""Multicolor""))"),"Generic")</f>
        <v>Generic</v>
      </c>
      <c r="E192" s="1"/>
      <c r="F192" s="1"/>
      <c r="H192" s="10"/>
      <c r="I192" s="11"/>
      <c r="J192" s="11"/>
      <c r="K192" s="6" t="s">
        <v>39</v>
      </c>
      <c r="L192" s="6" t="s">
        <v>39</v>
      </c>
      <c r="Q192" s="7">
        <v>60</v>
      </c>
      <c r="R192" s="7">
        <v>50</v>
      </c>
      <c r="S192" s="1" t="str">
        <f t="shared" si="10"/>
        <v>False</v>
      </c>
      <c r="T192" s="6" t="str">
        <f>IFERROR(__xludf.DUMMYFUNCTION("CONCATENATE(if(REGEXMATCH(C192,""R""),"" Red"",""""),if(REGEXMATCH(C192,""O""),"" Orange"",""""),if(REGEXMATCH(C192,""Y""),"" Yellow"",""""),if(REGEXMATCH(C192,""G""),"" Green"",""""),if(REGEXMATCH(C192,""B""),"" Blue"",""""),if(REGEXMATCH(C192,""P""),"" "&amp;"Purple"",""""))"),"")</f>
        <v/>
      </c>
      <c r="U192" s="6" t="str">
        <f>IFERROR(__xludf.DUMMYFUNCTION("TRIM(CONCAT(""[right]"", REGEXREPLACE(C192, ""([ROYGBPXZC_]|1?[0-9])"", ""[img=119]res://textures/icons/$0.png[/img]\\n"")))"),"[right]")</f>
        <v>[right]</v>
      </c>
      <c r="V192" s="1" t="str">
        <f>IFERROR(__xludf.DUMMYFUNCTION("SUBSTITUTE(SUBSTITUTE(SUBSTITUTE(SUBSTITUTE(REGEXREPLACE(SUBSTITUTE(SUBSTITUTE(SUBSTITUTE(SUBSTITUTE(REGEXREPLACE(I192, ""(\[([ROYGBPTQUXZC_]|1?[0-9])\])"", ""[img=45]res://textures/icons/$2.png[/img]""),""--"",""—""),""-&gt;"",""•""),""~@"", CONCATENATE(""["&amp;"i]"",REGEXEXTRACT(B192,""^([\s\S]*),|$""),""[/i]"")),""~"", CONCATENATE(""[i]"",B192,""[/i]"")),""(\([\s\S]*?\))"",""[i][color=#34343A]$0[/color][/i]""), ""&lt;"", ""[""), ""&gt;"", ""]""), ""[/p][p]"", ""[font_size=15]\n\n[/font_size]""), ""[br/]"", ""\n"")"),"")</f>
        <v/>
      </c>
      <c r="W192" s="6" t="str">
        <f t="shared" si="11"/>
        <v>[i][/i]</v>
      </c>
      <c r="X192" s="1" t="str">
        <f t="shared" si="12"/>
        <v>0</v>
      </c>
      <c r="Y192" s="1"/>
    </row>
    <row r="193">
      <c r="A193" s="7" t="s">
        <v>76</v>
      </c>
      <c r="B193" s="6" t="str">
        <f t="shared" si="13"/>
        <v>C</v>
      </c>
      <c r="C193" s="8"/>
      <c r="D193" s="9" t="str">
        <f>IFERROR(__xludf.DUMMYFUNCTION("IF(ISBLANK(A193),"""",SWITCH(IF(T193="""",0,COUNTA(SPLIT(T193,"" ""))),0,""Generic"",1,TRIM(T193),2,""Multicolor"",3,""Multicolor"",4,""Multicolor"",5,""Multicolor"",6,""Multicolor"",7,""Multicolor"",8,""Multicolor""))"),"Generic")</f>
        <v>Generic</v>
      </c>
      <c r="E193" s="1"/>
      <c r="F193" s="1"/>
      <c r="H193" s="10"/>
      <c r="I193" s="11"/>
      <c r="J193" s="11"/>
      <c r="K193" s="6" t="s">
        <v>39</v>
      </c>
      <c r="L193" s="6" t="s">
        <v>39</v>
      </c>
      <c r="Q193" s="7">
        <v>60</v>
      </c>
      <c r="R193" s="7">
        <v>50</v>
      </c>
      <c r="S193" s="1" t="str">
        <f t="shared" si="10"/>
        <v>False</v>
      </c>
      <c r="T193" s="6" t="str">
        <f>IFERROR(__xludf.DUMMYFUNCTION("CONCATENATE(if(REGEXMATCH(C193,""R""),"" Red"",""""),if(REGEXMATCH(C193,""O""),"" Orange"",""""),if(REGEXMATCH(C193,""Y""),"" Yellow"",""""),if(REGEXMATCH(C193,""G""),"" Green"",""""),if(REGEXMATCH(C193,""B""),"" Blue"",""""),if(REGEXMATCH(C193,""P""),"" "&amp;"Purple"",""""))"),"")</f>
        <v/>
      </c>
      <c r="U193" s="6" t="str">
        <f>IFERROR(__xludf.DUMMYFUNCTION("TRIM(CONCAT(""[right]"", REGEXREPLACE(C193, ""([ROYGBPXZC_]|1?[0-9])"", ""[img=119]res://textures/icons/$0.png[/img]\\n"")))"),"[right]")</f>
        <v>[right]</v>
      </c>
      <c r="V193" s="1" t="str">
        <f>IFERROR(__xludf.DUMMYFUNCTION("SUBSTITUTE(SUBSTITUTE(SUBSTITUTE(SUBSTITUTE(REGEXREPLACE(SUBSTITUTE(SUBSTITUTE(SUBSTITUTE(SUBSTITUTE(REGEXREPLACE(I193, ""(\[([ROYGBPTQUXZC_]|1?[0-9])\])"", ""[img=45]res://textures/icons/$2.png[/img]""),""--"",""—""),""-&gt;"",""•""),""~@"", CONCATENATE(""["&amp;"i]"",REGEXEXTRACT(B193,""^([\s\S]*),|$""),""[/i]"")),""~"", CONCATENATE(""[i]"",B193,""[/i]"")),""(\([\s\S]*?\))"",""[i][color=#34343A]$0[/color][/i]""), ""&lt;"", ""[""), ""&gt;"", ""]""), ""[/p][p]"", ""[font_size=15]\n\n[/font_size]""), ""[br/]"", ""\n"")"),"")</f>
        <v/>
      </c>
      <c r="W193" s="6" t="str">
        <f t="shared" si="11"/>
        <v>[i][/i]</v>
      </c>
      <c r="X193" s="1" t="str">
        <f t="shared" si="12"/>
        <v>0</v>
      </c>
      <c r="Y193" s="1"/>
    </row>
    <row r="194">
      <c r="A194" s="7" t="s">
        <v>76</v>
      </c>
      <c r="B194" s="6" t="str">
        <f t="shared" si="13"/>
        <v>C</v>
      </c>
      <c r="C194" s="8"/>
      <c r="D194" s="9" t="str">
        <f>IFERROR(__xludf.DUMMYFUNCTION("IF(ISBLANK(A194),"""",SWITCH(IF(T194="""",0,COUNTA(SPLIT(T194,"" ""))),0,""Generic"",1,TRIM(T194),2,""Multicolor"",3,""Multicolor"",4,""Multicolor"",5,""Multicolor"",6,""Multicolor"",7,""Multicolor"",8,""Multicolor""))"),"Generic")</f>
        <v>Generic</v>
      </c>
      <c r="E194" s="1"/>
      <c r="F194" s="1"/>
      <c r="H194" s="10"/>
      <c r="I194" s="11"/>
      <c r="J194" s="11"/>
      <c r="K194" s="6" t="s">
        <v>39</v>
      </c>
      <c r="L194" s="6" t="s">
        <v>39</v>
      </c>
      <c r="Q194" s="7">
        <v>60</v>
      </c>
      <c r="R194" s="7">
        <v>50</v>
      </c>
      <c r="S194" s="1" t="str">
        <f t="shared" ref="S194:S257" si="14">IF(ISBLANK(A194),"",IF(EQ(LEN(TRIM(K194)),0),"False","True"))</f>
        <v>False</v>
      </c>
      <c r="T194" s="6" t="str">
        <f>IFERROR(__xludf.DUMMYFUNCTION("CONCATENATE(if(REGEXMATCH(C194,""R""),"" Red"",""""),if(REGEXMATCH(C194,""O""),"" Orange"",""""),if(REGEXMATCH(C194,""Y""),"" Yellow"",""""),if(REGEXMATCH(C194,""G""),"" Green"",""""),if(REGEXMATCH(C194,""B""),"" Blue"",""""),if(REGEXMATCH(C194,""P""),"" "&amp;"Purple"",""""))"),"")</f>
        <v/>
      </c>
      <c r="U194" s="6" t="str">
        <f>IFERROR(__xludf.DUMMYFUNCTION("TRIM(CONCAT(""[right]"", REGEXREPLACE(C194, ""([ROYGBPXZC_]|1?[0-9])"", ""[img=119]res://textures/icons/$0.png[/img]\\n"")))"),"[right]")</f>
        <v>[right]</v>
      </c>
      <c r="V194" s="1" t="str">
        <f>IFERROR(__xludf.DUMMYFUNCTION("SUBSTITUTE(SUBSTITUTE(SUBSTITUTE(SUBSTITUTE(REGEXREPLACE(SUBSTITUTE(SUBSTITUTE(SUBSTITUTE(SUBSTITUTE(REGEXREPLACE(I194, ""(\[([ROYGBPTQUXZC_]|1?[0-9])\])"", ""[img=45]res://textures/icons/$2.png[/img]""),""--"",""—""),""-&gt;"",""•""),""~@"", CONCATENATE(""["&amp;"i]"",REGEXEXTRACT(B194,""^([\s\S]*),|$""),""[/i]"")),""~"", CONCATENATE(""[i]"",B194,""[/i]"")),""(\([\s\S]*?\))"",""[i][color=#34343A]$0[/color][/i]""), ""&lt;"", ""[""), ""&gt;"", ""]""), ""[/p][p]"", ""[font_size=15]\n\n[/font_size]""), ""[br/]"", ""\n"")"),"")</f>
        <v/>
      </c>
      <c r="W194" s="6" t="str">
        <f t="shared" ref="W194:W257" si="15">CONCATENATE("[i]",F194,"[/i]")</f>
        <v>[i][/i]</v>
      </c>
      <c r="X194" s="1" t="str">
        <f t="shared" ref="X194:X257" si="16">IF(EQ(A194,B194),"0",CONCATENATE("RS_",A194))</f>
        <v>0</v>
      </c>
      <c r="Y194" s="1"/>
    </row>
    <row r="195">
      <c r="A195" s="7" t="s">
        <v>366</v>
      </c>
      <c r="B195" s="7" t="str">
        <f t="shared" si="13"/>
        <v>M_CMDR_YG_001</v>
      </c>
      <c r="C195" s="8"/>
      <c r="D195" s="9" t="str">
        <f>IFERROR(__xludf.DUMMYFUNCTION("IF(ISBLANK(A195),"""",SWITCH(IF(T195="""",0,COUNTA(SPLIT(T195,"" ""))),0,""Generic"",1,TRIM(T195),2,""Multicolor"",3,""Multicolor"",4,""Multicolor"",5,""Multicolor"",6,""Multicolor"",7,""Multicolor"",8,""Multicolor""))"),"Generic")</f>
        <v>Generic</v>
      </c>
      <c r="E195" s="1"/>
      <c r="F195" s="1"/>
      <c r="G195" s="7" t="s">
        <v>367</v>
      </c>
      <c r="H195" s="10" t="s">
        <v>367</v>
      </c>
      <c r="I195" s="11" t="s">
        <v>367</v>
      </c>
      <c r="J195" s="11" t="s">
        <v>367</v>
      </c>
      <c r="K195" s="6" t="e">
        <v>#VALUE!</v>
      </c>
      <c r="L195" s="6" t="e">
        <v>#VALUE!</v>
      </c>
      <c r="O195" s="7" t="s">
        <v>367</v>
      </c>
      <c r="Q195" s="7">
        <v>60</v>
      </c>
      <c r="R195" s="7">
        <v>50</v>
      </c>
      <c r="S195" s="1" t="str">
        <f t="shared" si="14"/>
        <v>#VALUE!</v>
      </c>
      <c r="T195" s="6" t="str">
        <f>IFERROR(__xludf.DUMMYFUNCTION("CONCATENATE(if(REGEXMATCH(C195,""R""),"" Red"",""""),if(REGEXMATCH(C195,""O""),"" Orange"",""""),if(REGEXMATCH(C195,""Y""),"" Yellow"",""""),if(REGEXMATCH(C195,""G""),"" Green"",""""),if(REGEXMATCH(C195,""B""),"" Blue"",""""),if(REGEXMATCH(C195,""P""),"" "&amp;"Purple"",""""))"),"")</f>
        <v/>
      </c>
      <c r="U195" s="6" t="str">
        <f>IFERROR(__xludf.DUMMYFUNCTION("TRIM(CONCAT(""[right]"", REGEXREPLACE(C195, ""([ROYGBPXZC_]|1?[0-9])"", ""[img=119]res://textures/icons/$0.png[/img]\\n"")))"),"[right]")</f>
        <v>[right]</v>
      </c>
      <c r="V195" s="1" t="str">
        <f>IFERROR(__xludf.DUMMYFUNCTION("SUBSTITUTE(SUBSTITUTE(SUBSTITUTE(SUBSTITUTE(REGEXREPLACE(SUBSTITUTE(SUBSTITUTE(SUBSTITUTE(SUBSTITUTE(REGEXREPLACE(I195, ""(\[([ROYGBPTQUXZC_]|1?[0-9])\])"", ""[img=45]res://textures/icons/$2.png[/img]""),""--"",""—""),""-&gt;"",""•""),""~@"", CONCATENATE(""["&amp;"i]"",REGEXEXTRACT(B195,""^([\s\S]*),|$""),""[/i]"")),""~"", CONCATENATE(""[i]"",B195,""[/i]"")),""(\([\s\S]*?\))"",""[i][color=#34343A]$0[/color][/i]""), ""&lt;"", ""[""), ""&gt;"", ""]""), ""[/p][p]"", ""[font_size=15]\n\n[/font_size]""), ""[br/]"", ""\n"")"),"Bullet Spellslinger")</f>
        <v xml:space="preserve">Bullet Spellslinger</v>
      </c>
      <c r="W195" s="6" t="str">
        <f t="shared" si="15"/>
        <v>[i][/i]</v>
      </c>
      <c r="X195" s="1" t="str">
        <f t="shared" si="16"/>
        <v>0</v>
      </c>
      <c r="Y195" s="1"/>
    </row>
    <row r="196">
      <c r="A196" s="7" t="s">
        <v>177</v>
      </c>
      <c r="B196" s="6" t="str">
        <f t="shared" si="13"/>
        <v>Y</v>
      </c>
      <c r="C196" s="8"/>
      <c r="D196" s="9" t="str">
        <f>IFERROR(__xludf.DUMMYFUNCTION("IF(ISBLANK(A196),"""",SWITCH(IF(T196="""",0,COUNTA(SPLIT(T196,"" ""))),0,""Generic"",1,TRIM(T196),2,""Multicolor"",3,""Multicolor"",4,""Multicolor"",5,""Multicolor"",6,""Multicolor"",7,""Multicolor"",8,""Multicolor""))"),"Generic")</f>
        <v>Generic</v>
      </c>
      <c r="E196" s="1"/>
      <c r="F196" s="1"/>
      <c r="H196" s="10"/>
      <c r="J196" s="11"/>
      <c r="K196" s="6" t="s">
        <v>39</v>
      </c>
      <c r="L196" s="6" t="s">
        <v>39</v>
      </c>
      <c r="O196" s="11"/>
      <c r="Q196" s="7">
        <v>60</v>
      </c>
      <c r="R196" s="7">
        <v>50</v>
      </c>
      <c r="S196" s="1" t="str">
        <f t="shared" si="14"/>
        <v>False</v>
      </c>
      <c r="T196" s="6" t="str">
        <f>IFERROR(__xludf.DUMMYFUNCTION("CONCATENATE(if(REGEXMATCH(C196,""R""),"" Red"",""""),if(REGEXMATCH(C196,""O""),"" Orange"",""""),if(REGEXMATCH(C196,""Y""),"" Yellow"",""""),if(REGEXMATCH(C196,""G""),"" Green"",""""),if(REGEXMATCH(C196,""B""),"" Blue"",""""),if(REGEXMATCH(C196,""P""),"" "&amp;"Purple"",""""))"),"")</f>
        <v/>
      </c>
      <c r="U196" s="6" t="str">
        <f>IFERROR(__xludf.DUMMYFUNCTION("TRIM(CONCAT(""[right]"", REGEXREPLACE(C196, ""([ROYGBPXZC_]|1?[0-9])"", ""[img=119]res://textures/icons/$0.png[/img]\\n"")))"),"[right]")</f>
        <v>[right]</v>
      </c>
      <c r="V196" s="1" t="str">
        <f>IFERROR(__xludf.DUMMYFUNCTION("SUBSTITUTE(SUBSTITUTE(SUBSTITUTE(SUBSTITUTE(REGEXREPLACE(SUBSTITUTE(SUBSTITUTE(SUBSTITUTE(SUBSTITUTE(REGEXREPLACE(I196, ""(\[([ROYGBPTQUXZC_]|1?[0-9])\])"", ""[img=45]res://textures/icons/$2.png[/img]""),""--"",""—""),""-&gt;"",""•""),""~@"", CONCATENATE(""["&amp;"i]"",REGEXEXTRACT(B196,""^([\s\S]*),|$""),""[/i]"")),""~"", CONCATENATE(""[i]"",B196,""[/i]"")),""(\([\s\S]*?\))"",""[i][color=#34343A]$0[/color][/i]""), ""&lt;"", ""[""), ""&gt;"", ""]""), ""[/p][p]"", ""[font_size=15]\n\n[/font_size]""), ""[br/]"", ""\n"")"),"")</f>
        <v/>
      </c>
      <c r="W196" s="6" t="str">
        <f t="shared" si="15"/>
        <v>[i][/i]</v>
      </c>
      <c r="X196" s="1" t="str">
        <f t="shared" si="16"/>
        <v>0</v>
      </c>
      <c r="Y196" s="1"/>
    </row>
    <row r="197">
      <c r="A197" s="7" t="s">
        <v>177</v>
      </c>
      <c r="B197" s="6" t="str">
        <f t="shared" si="13"/>
        <v>Y</v>
      </c>
      <c r="C197" s="8"/>
      <c r="D197" s="9" t="str">
        <f>IFERROR(__xludf.DUMMYFUNCTION("IF(ISBLANK(A197),"""",SWITCH(IF(T197="""",0,COUNTA(SPLIT(T197,"" ""))),0,""Generic"",1,TRIM(T197),2,""Multicolor"",3,""Multicolor"",4,""Multicolor"",5,""Multicolor"",6,""Multicolor"",7,""Multicolor"",8,""Multicolor""))"),"Generic")</f>
        <v>Generic</v>
      </c>
      <c r="E197" s="1"/>
      <c r="F197" s="1"/>
      <c r="H197" s="10"/>
      <c r="I197" s="11"/>
      <c r="J197" s="11"/>
      <c r="K197" s="6" t="s">
        <v>39</v>
      </c>
      <c r="L197" s="6" t="s">
        <v>39</v>
      </c>
      <c r="O197" s="11"/>
      <c r="Q197" s="7">
        <v>60</v>
      </c>
      <c r="R197" s="7">
        <v>50</v>
      </c>
      <c r="S197" s="1" t="str">
        <f t="shared" si="14"/>
        <v>False</v>
      </c>
      <c r="T197" s="6" t="str">
        <f>IFERROR(__xludf.DUMMYFUNCTION("CONCATENATE(if(REGEXMATCH(C197,""R""),"" Red"",""""),if(REGEXMATCH(C197,""O""),"" Orange"",""""),if(REGEXMATCH(C197,""Y""),"" Yellow"",""""),if(REGEXMATCH(C197,""G""),"" Green"",""""),if(REGEXMATCH(C197,""B""),"" Blue"",""""),if(REGEXMATCH(C197,""P""),"" "&amp;"Purple"",""""))"),"")</f>
        <v/>
      </c>
      <c r="U197" s="6" t="str">
        <f>IFERROR(__xludf.DUMMYFUNCTION("TRIM(CONCAT(""[right]"", REGEXREPLACE(C197, ""([ROYGBPXZC_]|1?[0-9])"", ""[img=119]res://textures/icons/$0.png[/img]\\n"")))"),"[right]")</f>
        <v>[right]</v>
      </c>
      <c r="V197" s="1" t="str">
        <f>IFERROR(__xludf.DUMMYFUNCTION("SUBSTITUTE(SUBSTITUTE(SUBSTITUTE(SUBSTITUTE(REGEXREPLACE(SUBSTITUTE(SUBSTITUTE(SUBSTITUTE(SUBSTITUTE(REGEXREPLACE(I197, ""(\[([ROYGBPTQUXZC_]|1?[0-9])\])"", ""[img=45]res://textures/icons/$2.png[/img]""),""--"",""—""),""-&gt;"",""•""),""~@"", CONCATENATE(""["&amp;"i]"",REGEXEXTRACT(B197,""^([\s\S]*),|$""),""[/i]"")),""~"", CONCATENATE(""[i]"",B197,""[/i]"")),""(\([\s\S]*?\))"",""[i][color=#34343A]$0[/color][/i]""), ""&lt;"", ""[""), ""&gt;"", ""]""), ""[/p][p]"", ""[font_size=15]\n\n[/font_size]""), ""[br/]"", ""\n"")"),"")</f>
        <v/>
      </c>
      <c r="W197" s="6" t="str">
        <f t="shared" si="15"/>
        <v>[i][/i]</v>
      </c>
      <c r="X197" s="1" t="str">
        <f t="shared" si="16"/>
        <v>0</v>
      </c>
      <c r="Y197" s="1"/>
    </row>
    <row r="198">
      <c r="A198" s="7" t="s">
        <v>177</v>
      </c>
      <c r="B198" s="6" t="str">
        <f t="shared" si="13"/>
        <v>Y</v>
      </c>
      <c r="C198" s="8"/>
      <c r="D198" s="9" t="str">
        <f>IFERROR(__xludf.DUMMYFUNCTION("IF(ISBLANK(A198),"""",SWITCH(IF(T198="""",0,COUNTA(SPLIT(T198,"" ""))),0,""Generic"",1,TRIM(T198),2,""Multicolor"",3,""Multicolor"",4,""Multicolor"",5,""Multicolor"",6,""Multicolor"",7,""Multicolor"",8,""Multicolor""))"),"Generic")</f>
        <v>Generic</v>
      </c>
      <c r="E198" s="1"/>
      <c r="F198" s="1"/>
      <c r="H198" s="10"/>
      <c r="I198" s="11"/>
      <c r="J198" s="11"/>
      <c r="K198" s="6" t="s">
        <v>39</v>
      </c>
      <c r="L198" s="6" t="s">
        <v>39</v>
      </c>
      <c r="Q198" s="7">
        <v>60</v>
      </c>
      <c r="R198" s="7">
        <v>50</v>
      </c>
      <c r="S198" s="1" t="str">
        <f t="shared" si="14"/>
        <v>False</v>
      </c>
      <c r="T198" s="6" t="str">
        <f>IFERROR(__xludf.DUMMYFUNCTION("CONCATENATE(if(REGEXMATCH(C198,""R""),"" Red"",""""),if(REGEXMATCH(C198,""O""),"" Orange"",""""),if(REGEXMATCH(C198,""Y""),"" Yellow"",""""),if(REGEXMATCH(C198,""G""),"" Green"",""""),if(REGEXMATCH(C198,""B""),"" Blue"",""""),if(REGEXMATCH(C198,""P""),"" "&amp;"Purple"",""""))"),"")</f>
        <v/>
      </c>
      <c r="U198" s="6" t="str">
        <f>IFERROR(__xludf.DUMMYFUNCTION("TRIM(CONCAT(""[right]"", REGEXREPLACE(C198, ""([ROYGBPXZC_]|1?[0-9])"", ""[img=119]res://textures/icons/$0.png[/img]\\n"")))"),"[right]")</f>
        <v>[right]</v>
      </c>
      <c r="V198" s="1" t="str">
        <f>IFERROR(__xludf.DUMMYFUNCTION("SUBSTITUTE(SUBSTITUTE(SUBSTITUTE(SUBSTITUTE(REGEXREPLACE(SUBSTITUTE(SUBSTITUTE(SUBSTITUTE(SUBSTITUTE(REGEXREPLACE(I198, ""(\[([ROYGBPTQUXZC_]|1?[0-9])\])"", ""[img=45]res://textures/icons/$2.png[/img]""),""--"",""—""),""-&gt;"",""•""),""~@"", CONCATENATE(""["&amp;"i]"",REGEXEXTRACT(B198,""^([\s\S]*),|$""),""[/i]"")),""~"", CONCATENATE(""[i]"",B198,""[/i]"")),""(\([\s\S]*?\))"",""[i][color=#34343A]$0[/color][/i]""), ""&lt;"", ""[""), ""&gt;"", ""]""), ""[/p][p]"", ""[font_size=15]\n\n[/font_size]""), ""[br/]"", ""\n"")"),"")</f>
        <v/>
      </c>
      <c r="W198" s="6" t="str">
        <f t="shared" si="15"/>
        <v>[i][/i]</v>
      </c>
      <c r="X198" s="1" t="str">
        <f t="shared" si="16"/>
        <v>0</v>
      </c>
      <c r="Y198" s="1"/>
    </row>
    <row r="199">
      <c r="A199" s="7" t="s">
        <v>177</v>
      </c>
      <c r="B199" s="6" t="str">
        <f t="shared" si="13"/>
        <v>Y</v>
      </c>
      <c r="C199" s="8"/>
      <c r="D199" s="9" t="str">
        <f>IFERROR(__xludf.DUMMYFUNCTION("IF(ISBLANK(A199),"""",SWITCH(IF(T199="""",0,COUNTA(SPLIT(T199,"" ""))),0,""Generic"",1,TRIM(T199),2,""Multicolor"",3,""Multicolor"",4,""Multicolor"",5,""Multicolor"",6,""Multicolor"",7,""Multicolor"",8,""Multicolor""))"),"Generic")</f>
        <v>Generic</v>
      </c>
      <c r="E199" s="1"/>
      <c r="F199" s="1"/>
      <c r="H199" s="10"/>
      <c r="I199" s="11"/>
      <c r="J199" s="11"/>
      <c r="K199" s="6" t="s">
        <v>39</v>
      </c>
      <c r="L199" s="6" t="s">
        <v>39</v>
      </c>
      <c r="Q199" s="7">
        <v>60</v>
      </c>
      <c r="R199" s="7">
        <v>50</v>
      </c>
      <c r="S199" s="1" t="str">
        <f t="shared" si="14"/>
        <v>False</v>
      </c>
      <c r="T199" s="6" t="str">
        <f>IFERROR(__xludf.DUMMYFUNCTION("CONCATENATE(if(REGEXMATCH(C199,""R""),"" Red"",""""),if(REGEXMATCH(C199,""O""),"" Orange"",""""),if(REGEXMATCH(C199,""Y""),"" Yellow"",""""),if(REGEXMATCH(C199,""G""),"" Green"",""""),if(REGEXMATCH(C199,""B""),"" Blue"",""""),if(REGEXMATCH(C199,""P""),"" "&amp;"Purple"",""""))"),"")</f>
        <v/>
      </c>
      <c r="U199" s="6" t="str">
        <f>IFERROR(__xludf.DUMMYFUNCTION("TRIM(CONCAT(""[right]"", REGEXREPLACE(C199, ""([ROYGBPXZC_]|1?[0-9])"", ""[img=119]res://textures/icons/$0.png[/img]\\n"")))"),"[right]")</f>
        <v>[right]</v>
      </c>
      <c r="V199" s="1" t="str">
        <f>IFERROR(__xludf.DUMMYFUNCTION("SUBSTITUTE(SUBSTITUTE(SUBSTITUTE(SUBSTITUTE(REGEXREPLACE(SUBSTITUTE(SUBSTITUTE(SUBSTITUTE(SUBSTITUTE(REGEXREPLACE(I199, ""(\[([ROYGBPTQUXZC_]|1?[0-9])\])"", ""[img=45]res://textures/icons/$2.png[/img]""),""--"",""—""),""-&gt;"",""•""),""~@"", CONCATENATE(""["&amp;"i]"",REGEXEXTRACT(B199,""^([\s\S]*),|$""),""[/i]"")),""~"", CONCATENATE(""[i]"",B199,""[/i]"")),""(\([\s\S]*?\))"",""[i][color=#34343A]$0[/color][/i]""), ""&lt;"", ""[""), ""&gt;"", ""]""), ""[/p][p]"", ""[font_size=15]\n\n[/font_size]""), ""[br/]"", ""\n"")"),"")</f>
        <v/>
      </c>
      <c r="W199" s="6" t="str">
        <f t="shared" si="15"/>
        <v>[i][/i]</v>
      </c>
      <c r="X199" s="1" t="str">
        <f t="shared" si="16"/>
        <v>0</v>
      </c>
      <c r="Y199" s="1"/>
    </row>
    <row r="200">
      <c r="A200" s="7" t="s">
        <v>368</v>
      </c>
      <c r="B200" s="7" t="s">
        <v>369</v>
      </c>
      <c r="C200" s="12" t="s">
        <v>370</v>
      </c>
      <c r="D200" s="9" t="str">
        <f>IFERROR(__xludf.DUMMYFUNCTION("IF(ISBLANK(A200),"""",SWITCH(IF(T200="""",0,COUNTA(SPLIT(T200,"" ""))),0,""Generic"",1,TRIM(T200),2,""Multicolor"",3,""Multicolor"",4,""Multicolor"",5,""Multicolor"",6,""Multicolor"",7,""Multicolor"",8,""Multicolor""))"),"Multicolor")</f>
        <v>Multicolor</v>
      </c>
      <c r="E200" s="1"/>
      <c r="F200" s="1" t="s">
        <v>35</v>
      </c>
      <c r="G200" s="7" t="s">
        <v>371</v>
      </c>
      <c r="H200" s="10" t="s">
        <v>58</v>
      </c>
      <c r="I200" s="11" t="s">
        <v>372</v>
      </c>
      <c r="J200" s="11"/>
      <c r="K200" s="6" t="s">
        <v>39</v>
      </c>
      <c r="L200" s="6" t="s">
        <v>39</v>
      </c>
      <c r="Q200" s="7">
        <v>60</v>
      </c>
      <c r="R200" s="7">
        <v>35</v>
      </c>
      <c r="S200" s="1" t="str">
        <f t="shared" si="14"/>
        <v>False</v>
      </c>
      <c r="T200" s="6" t="str">
        <f>IFERROR(__xludf.DUMMYFUNCTION("CONCATENATE(if(REGEXMATCH(C200,""R""),"" Red"",""""),if(REGEXMATCH(C200,""O""),"" Orange"",""""),if(REGEXMATCH(C200,""Y""),"" Yellow"",""""),if(REGEXMATCH(C200,""G""),"" Green"",""""),if(REGEXMATCH(C200,""B""),"" Blue"",""""),if(REGEXMATCH(C200,""P""),"" "&amp;"Purple"",""""))")," Yellow Green")</f>
        <v xml:space="preserve">Yellow Green</v>
      </c>
      <c r="U200" s="6" t="str">
        <f>IFERROR(__xludf.DUMMYFUNCTION("TRIM(CONCAT(""[right]"", REGEXREPLACE(C200, ""([ROYGBPXZC_]|1?[0-9])"", ""[img=119]res://textures/icons/$0.png[/img]\\n"")))"),"[right][img=119]res://textures/icons/1.png[/img]\n[img=119]res://textures/icons/Y.png[/img]\n[img=119]res://textures/icons/G.png[/img]\n")</f>
        <v>[right][img=119]res://textures/icons/1.png[/img]\n[img=119]res://textures/icons/Y.png[/img]\n[img=119]res://textures/icons/G.png[/img]\n</v>
      </c>
      <c r="V200" s="1" t="str">
        <f>IFERROR(__xludf.DUMMYFUNCTION("SUBSTITUTE(SUBSTITUTE(SUBSTITUTE(SUBSTITUTE(REGEXREPLACE(SUBSTITUTE(SUBSTITUTE(SUBSTITUTE(SUBSTITUTE(REGEXREPLACE(I200, ""(\[([ROYGBPTQUXZC_]|1?[0-9])\])"", ""[img=45]res://textures/icons/$2.png[/img]""),""--"",""—""),""-&gt;"",""•""),""~@"", CONCATENATE(""["&amp;"i]"",REGEXEXTRACT(B200,""^([\s\S]*),|$""),""[/i]"")),""~"", CONCATENATE(""[i]"",B200,""[/i]"")),""(\([\s\S]*?\))"",""[i][color=#34343A]$0[/color][/i]""), ""&lt;"", ""[""), ""&gt;"", ""]""), ""[/p][p]"", ""[font_size=15]\n\n[/font_size]""), ""[br/]"", ""\n"")"),"[i]Impressive Shot[/i] costs [img=45]res://textures/icons/1.png[/img] less to deploy if you didn't go first.[p]Choose anything to take 3 damage, anything else to take 2 damage, and a third thing to take 1 damage.[font_size=15]\n\n[/font_size]Create a 'Bul"&amp;"let' on the battlefield for each combatant or commander killed this way.[/p]")</f>
        <v xml:space="preserve">[i]Impressive Shot[/i] costs [img=45]res://textures/icons/1.png[/img] less to deploy if you didn't go first.[p]Choose anything to take 3 damage, anything else to take 2 damage, and a third thing to take 1 damage.[font_size=15]\n\n[/font_size]Create a 'Bullet' on the battlefield for each combatant or commander killed this way.[/p]</v>
      </c>
      <c r="W200" s="6" t="str">
        <f t="shared" si="15"/>
        <v>[i]Effect[/i]</v>
      </c>
      <c r="X200" s="1" t="str">
        <f t="shared" si="16"/>
        <v>RS_MU_YG_001</v>
      </c>
      <c r="Y200" s="1"/>
    </row>
    <row r="201">
      <c r="A201" s="7" t="s">
        <v>75</v>
      </c>
      <c r="B201" s="6" t="str">
        <f t="shared" si="13"/>
        <v>U</v>
      </c>
      <c r="C201" s="8"/>
      <c r="D201" s="9" t="str">
        <f>IFERROR(__xludf.DUMMYFUNCTION("IF(ISBLANK(A201),"""",SWITCH(IF(T201="""",0,COUNTA(SPLIT(T201,"" ""))),0,""Generic"",1,TRIM(T201),2,""Multicolor"",3,""Multicolor"",4,""Multicolor"",5,""Multicolor"",6,""Multicolor"",7,""Multicolor"",8,""Multicolor""))"),"Generic")</f>
        <v>Generic</v>
      </c>
      <c r="E201" s="1"/>
      <c r="F201" s="1"/>
      <c r="H201" s="10"/>
      <c r="I201" s="11"/>
      <c r="J201" s="11"/>
      <c r="K201" s="6" t="s">
        <v>39</v>
      </c>
      <c r="L201" s="6" t="s">
        <v>39</v>
      </c>
      <c r="Q201" s="7">
        <v>60</v>
      </c>
      <c r="R201" s="7">
        <v>50</v>
      </c>
      <c r="S201" s="1" t="str">
        <f t="shared" si="14"/>
        <v>False</v>
      </c>
      <c r="T201" s="6" t="str">
        <f>IFERROR(__xludf.DUMMYFUNCTION("CONCATENATE(if(REGEXMATCH(C201,""R""),"" Red"",""""),if(REGEXMATCH(C201,""O""),"" Orange"",""""),if(REGEXMATCH(C201,""Y""),"" Yellow"",""""),if(REGEXMATCH(C201,""G""),"" Green"",""""),if(REGEXMATCH(C201,""B""),"" Blue"",""""),if(REGEXMATCH(C201,""P""),"" "&amp;"Purple"",""""))"),"")</f>
        <v/>
      </c>
      <c r="U201" s="6" t="str">
        <f>IFERROR(__xludf.DUMMYFUNCTION("TRIM(CONCAT(""[right]"", REGEXREPLACE(C201, ""([ROYGBPXZC_]|1?[0-9])"", ""[img=119]res://textures/icons/$0.png[/img]\\n"")))"),"[right]")</f>
        <v>[right]</v>
      </c>
      <c r="V201" s="1" t="str">
        <f>IFERROR(__xludf.DUMMYFUNCTION("SUBSTITUTE(SUBSTITUTE(SUBSTITUTE(SUBSTITUTE(REGEXREPLACE(SUBSTITUTE(SUBSTITUTE(SUBSTITUTE(SUBSTITUTE(REGEXREPLACE(I201, ""(\[([ROYGBPTQUXZC_]|1?[0-9])\])"", ""[img=45]res://textures/icons/$2.png[/img]""),""--"",""—""),""-&gt;"",""•""),""~@"", CONCATENATE(""["&amp;"i]"",REGEXEXTRACT(B201,""^([\s\S]*),|$""),""[/i]"")),""~"", CONCATENATE(""[i]"",B201,""[/i]"")),""(\([\s\S]*?\))"",""[i][color=#34343A]$0[/color][/i]""), ""&lt;"", ""[""), ""&gt;"", ""]""), ""[/p][p]"", ""[font_size=15]\n\n[/font_size]""), ""[br/]"", ""\n"")"),"")</f>
        <v/>
      </c>
      <c r="W201" s="6" t="str">
        <f t="shared" si="15"/>
        <v>[i][/i]</v>
      </c>
      <c r="X201" s="1" t="str">
        <f t="shared" si="16"/>
        <v>0</v>
      </c>
      <c r="Y201" s="1"/>
    </row>
    <row r="202">
      <c r="A202" s="7" t="s">
        <v>75</v>
      </c>
      <c r="B202" s="6" t="str">
        <f t="shared" si="13"/>
        <v>U</v>
      </c>
      <c r="C202" s="8"/>
      <c r="D202" s="9" t="str">
        <f>IFERROR(__xludf.DUMMYFUNCTION("IF(ISBLANK(A202),"""",SWITCH(IF(T202="""",0,COUNTA(SPLIT(T202,"" ""))),0,""Generic"",1,TRIM(T202),2,""Multicolor"",3,""Multicolor"",4,""Multicolor"",5,""Multicolor"",6,""Multicolor"",7,""Multicolor"",8,""Multicolor""))"),"Generic")</f>
        <v>Generic</v>
      </c>
      <c r="E202" s="1"/>
      <c r="F202" s="1"/>
      <c r="H202" s="10"/>
      <c r="I202" s="11"/>
      <c r="J202" s="11"/>
      <c r="K202" s="6" t="s">
        <v>39</v>
      </c>
      <c r="L202" s="6" t="s">
        <v>39</v>
      </c>
      <c r="Q202" s="7">
        <v>60</v>
      </c>
      <c r="R202" s="7">
        <v>50</v>
      </c>
      <c r="S202" s="1" t="str">
        <f t="shared" si="14"/>
        <v>False</v>
      </c>
      <c r="T202" s="6" t="str">
        <f>IFERROR(__xludf.DUMMYFUNCTION("CONCATENATE(if(REGEXMATCH(C202,""R""),"" Red"",""""),if(REGEXMATCH(C202,""O""),"" Orange"",""""),if(REGEXMATCH(C202,""Y""),"" Yellow"",""""),if(REGEXMATCH(C202,""G""),"" Green"",""""),if(REGEXMATCH(C202,""B""),"" Blue"",""""),if(REGEXMATCH(C202,""P""),"" "&amp;"Purple"",""""))"),"")</f>
        <v/>
      </c>
      <c r="U202" s="6" t="str">
        <f>IFERROR(__xludf.DUMMYFUNCTION("TRIM(CONCAT(""[right]"", REGEXREPLACE(C202, ""([ROYGBPXZC_]|1?[0-9])"", ""[img=119]res://textures/icons/$0.png[/img]\\n"")))"),"[right]")</f>
        <v>[right]</v>
      </c>
      <c r="V202" s="1" t="str">
        <f>IFERROR(__xludf.DUMMYFUNCTION("SUBSTITUTE(SUBSTITUTE(SUBSTITUTE(SUBSTITUTE(REGEXREPLACE(SUBSTITUTE(SUBSTITUTE(SUBSTITUTE(SUBSTITUTE(REGEXREPLACE(I202, ""(\[([ROYGBPTQUXZC_]|1?[0-9])\])"", ""[img=45]res://textures/icons/$2.png[/img]""),""--"",""—""),""-&gt;"",""•""),""~@"", CONCATENATE(""["&amp;"i]"",REGEXEXTRACT(B202,""^([\s\S]*),|$""),""[/i]"")),""~"", CONCATENATE(""[i]"",B202,""[/i]"")),""(\([\s\S]*?\))"",""[i][color=#34343A]$0[/color][/i]""), ""&lt;"", ""[""), ""&gt;"", ""]""), ""[/p][p]"", ""[font_size=15]\n\n[/font_size]""), ""[br/]"", ""\n"")"),"")</f>
        <v/>
      </c>
      <c r="W202" s="6" t="str">
        <f t="shared" si="15"/>
        <v>[i][/i]</v>
      </c>
      <c r="X202" s="1" t="str">
        <f t="shared" si="16"/>
        <v>0</v>
      </c>
      <c r="Y202" s="1"/>
    </row>
    <row r="203">
      <c r="A203" s="7" t="s">
        <v>75</v>
      </c>
      <c r="B203" s="6" t="str">
        <f t="shared" si="13"/>
        <v>U</v>
      </c>
      <c r="C203" s="8"/>
      <c r="D203" s="9" t="str">
        <f>IFERROR(__xludf.DUMMYFUNCTION("IF(ISBLANK(A203),"""",SWITCH(IF(T203="""",0,COUNTA(SPLIT(T203,"" ""))),0,""Generic"",1,TRIM(T203),2,""Multicolor"",3,""Multicolor"",4,""Multicolor"",5,""Multicolor"",6,""Multicolor"",7,""Multicolor"",8,""Multicolor""))"),"Generic")</f>
        <v>Generic</v>
      </c>
      <c r="E203" s="1"/>
      <c r="F203" s="1"/>
      <c r="H203" s="10"/>
      <c r="I203" s="11"/>
      <c r="J203" s="11"/>
      <c r="K203" s="6" t="s">
        <v>39</v>
      </c>
      <c r="L203" s="6" t="s">
        <v>39</v>
      </c>
      <c r="Q203" s="7">
        <v>60</v>
      </c>
      <c r="R203" s="7">
        <v>50</v>
      </c>
      <c r="S203" s="1" t="str">
        <f t="shared" si="14"/>
        <v>False</v>
      </c>
      <c r="T203" s="6" t="str">
        <f>IFERROR(__xludf.DUMMYFUNCTION("CONCATENATE(if(REGEXMATCH(C203,""R""),"" Red"",""""),if(REGEXMATCH(C203,""O""),"" Orange"",""""),if(REGEXMATCH(C203,""Y""),"" Yellow"",""""),if(REGEXMATCH(C203,""G""),"" Green"",""""),if(REGEXMATCH(C203,""B""),"" Blue"",""""),if(REGEXMATCH(C203,""P""),"" "&amp;"Purple"",""""))"),"")</f>
        <v/>
      </c>
      <c r="U203" s="6" t="str">
        <f>IFERROR(__xludf.DUMMYFUNCTION("TRIM(CONCAT(""[right]"", REGEXREPLACE(C203, ""([ROYGBPXZC_]|1?[0-9])"", ""[img=119]res://textures/icons/$0.png[/img]\\n"")))"),"[right]")</f>
        <v>[right]</v>
      </c>
      <c r="V203" s="1" t="str">
        <f>IFERROR(__xludf.DUMMYFUNCTION("SUBSTITUTE(SUBSTITUTE(SUBSTITUTE(SUBSTITUTE(REGEXREPLACE(SUBSTITUTE(SUBSTITUTE(SUBSTITUTE(SUBSTITUTE(REGEXREPLACE(I203, ""(\[([ROYGBPTQUXZC_]|1?[0-9])\])"", ""[img=45]res://textures/icons/$2.png[/img]""),""--"",""—""),""-&gt;"",""•""),""~@"", CONCATENATE(""["&amp;"i]"",REGEXEXTRACT(B203,""^([\s\S]*),|$""),""[/i]"")),""~"", CONCATENATE(""[i]"",B203,""[/i]"")),""(\([\s\S]*?\))"",""[i][color=#34343A]$0[/color][/i]""), ""&lt;"", ""[""), ""&gt;"", ""]""), ""[/p][p]"", ""[font_size=15]\n\n[/font_size]""), ""[br/]"", ""\n"")"),"")</f>
        <v/>
      </c>
      <c r="W203" s="6" t="str">
        <f t="shared" si="15"/>
        <v>[i][/i]</v>
      </c>
      <c r="X203" s="1" t="str">
        <f t="shared" si="16"/>
        <v>0</v>
      </c>
      <c r="Y203" s="1"/>
    </row>
    <row r="204">
      <c r="A204" s="7" t="s">
        <v>75</v>
      </c>
      <c r="B204" s="6" t="str">
        <f t="shared" si="13"/>
        <v>U</v>
      </c>
      <c r="C204" s="8"/>
      <c r="D204" s="9" t="str">
        <f>IFERROR(__xludf.DUMMYFUNCTION("IF(ISBLANK(A204),"""",SWITCH(IF(T204="""",0,COUNTA(SPLIT(T204,"" ""))),0,""Generic"",1,TRIM(T204),2,""Multicolor"",3,""Multicolor"",4,""Multicolor"",5,""Multicolor"",6,""Multicolor"",7,""Multicolor"",8,""Multicolor""))"),"Generic")</f>
        <v>Generic</v>
      </c>
      <c r="E204" s="1"/>
      <c r="F204" s="1"/>
      <c r="H204" s="10"/>
      <c r="I204" s="11"/>
      <c r="J204" s="11"/>
      <c r="K204" s="6" t="s">
        <v>39</v>
      </c>
      <c r="L204" s="6" t="s">
        <v>39</v>
      </c>
      <c r="Q204" s="7">
        <v>60</v>
      </c>
      <c r="R204" s="7">
        <v>50</v>
      </c>
      <c r="S204" s="1" t="str">
        <f t="shared" si="14"/>
        <v>False</v>
      </c>
      <c r="T204" s="6" t="str">
        <f>IFERROR(__xludf.DUMMYFUNCTION("CONCATENATE(if(REGEXMATCH(C204,""R""),"" Red"",""""),if(REGEXMATCH(C204,""O""),"" Orange"",""""),if(REGEXMATCH(C204,""Y""),"" Yellow"",""""),if(REGEXMATCH(C204,""G""),"" Green"",""""),if(REGEXMATCH(C204,""B""),"" Blue"",""""),if(REGEXMATCH(C204,""P""),"" "&amp;"Purple"",""""))"),"")</f>
        <v/>
      </c>
      <c r="U204" s="6" t="str">
        <f>IFERROR(__xludf.DUMMYFUNCTION("TRIM(CONCAT(""[right]"", REGEXREPLACE(C204, ""([ROYGBPXZC_]|1?[0-9])"", ""[img=119]res://textures/icons/$0.png[/img]\\n"")))"),"[right]")</f>
        <v>[right]</v>
      </c>
      <c r="V204" s="1" t="str">
        <f>IFERROR(__xludf.DUMMYFUNCTION("SUBSTITUTE(SUBSTITUTE(SUBSTITUTE(SUBSTITUTE(REGEXREPLACE(SUBSTITUTE(SUBSTITUTE(SUBSTITUTE(SUBSTITUTE(REGEXREPLACE(I204, ""(\[([ROYGBPTQUXZC_]|1?[0-9])\])"", ""[img=45]res://textures/icons/$2.png[/img]""),""--"",""—""),""-&gt;"",""•""),""~@"", CONCATENATE(""["&amp;"i]"",REGEXEXTRACT(B204,""^([\s\S]*),|$""),""[/i]"")),""~"", CONCATENATE(""[i]"",B204,""[/i]"")),""(\([\s\S]*?\))"",""[i][color=#34343A]$0[/color][/i]""), ""&lt;"", ""[""), ""&gt;"", ""]""), ""[/p][p]"", ""[font_size=15]\n\n[/font_size]""), ""[br/]"", ""\n"")"),"")</f>
        <v/>
      </c>
      <c r="W204" s="6" t="str">
        <f t="shared" si="15"/>
        <v>[i][/i]</v>
      </c>
      <c r="X204" s="1" t="str">
        <f t="shared" si="16"/>
        <v>0</v>
      </c>
      <c r="Y204" s="1"/>
    </row>
    <row r="205">
      <c r="A205" s="7" t="s">
        <v>75</v>
      </c>
      <c r="B205" s="6" t="str">
        <f t="shared" si="13"/>
        <v>U</v>
      </c>
      <c r="C205" s="8"/>
      <c r="D205" s="9" t="str">
        <f>IFERROR(__xludf.DUMMYFUNCTION("IF(ISBLANK(A205),"""",SWITCH(IF(T205="""",0,COUNTA(SPLIT(T205,"" ""))),0,""Generic"",1,TRIM(T205),2,""Multicolor"",3,""Multicolor"",4,""Multicolor"",5,""Multicolor"",6,""Multicolor"",7,""Multicolor"",8,""Multicolor""))"),"Generic")</f>
        <v>Generic</v>
      </c>
      <c r="E205" s="1"/>
      <c r="F205" s="1"/>
      <c r="H205" s="10"/>
      <c r="I205" s="11"/>
      <c r="J205" s="11"/>
      <c r="K205" s="6" t="s">
        <v>39</v>
      </c>
      <c r="L205" s="6" t="s">
        <v>39</v>
      </c>
      <c r="Q205" s="7">
        <v>60</v>
      </c>
      <c r="R205" s="7">
        <v>50</v>
      </c>
      <c r="S205" s="1" t="str">
        <f t="shared" si="14"/>
        <v>False</v>
      </c>
      <c r="T205" s="6" t="str">
        <f>IFERROR(__xludf.DUMMYFUNCTION("CONCATENATE(if(REGEXMATCH(C205,""R""),"" Red"",""""),if(REGEXMATCH(C205,""O""),"" Orange"",""""),if(REGEXMATCH(C205,""Y""),"" Yellow"",""""),if(REGEXMATCH(C205,""G""),"" Green"",""""),if(REGEXMATCH(C205,""B""),"" Blue"",""""),if(REGEXMATCH(C205,""P""),"" "&amp;"Purple"",""""))"),"")</f>
        <v/>
      </c>
      <c r="U205" s="6" t="str">
        <f>IFERROR(__xludf.DUMMYFUNCTION("TRIM(CONCAT(""[right]"", REGEXREPLACE(C205, ""([ROYGBPXZC_]|1?[0-9])"", ""[img=119]res://textures/icons/$0.png[/img]\\n"")))"),"[right]")</f>
        <v>[right]</v>
      </c>
      <c r="V205" s="1" t="str">
        <f>IFERROR(__xludf.DUMMYFUNCTION("SUBSTITUTE(SUBSTITUTE(SUBSTITUTE(SUBSTITUTE(REGEXREPLACE(SUBSTITUTE(SUBSTITUTE(SUBSTITUTE(SUBSTITUTE(REGEXREPLACE(I205, ""(\[([ROYGBPTQUXZC_]|1?[0-9])\])"", ""[img=45]res://textures/icons/$2.png[/img]""),""--"",""—""),""-&gt;"",""•""),""~@"", CONCATENATE(""["&amp;"i]"",REGEXEXTRACT(B205,""^([\s\S]*),|$""),""[/i]"")),""~"", CONCATENATE(""[i]"",B205,""[/i]"")),""(\([\s\S]*?\))"",""[i][color=#34343A]$0[/color][/i]""), ""&lt;"", ""[""), ""&gt;"", ""]""), ""[/p][p]"", ""[font_size=15]\n\n[/font_size]""), ""[br/]"", ""\n"")"),"")</f>
        <v/>
      </c>
      <c r="W205" s="6" t="str">
        <f t="shared" si="15"/>
        <v>[i][/i]</v>
      </c>
      <c r="X205" s="1" t="str">
        <f t="shared" si="16"/>
        <v>0</v>
      </c>
      <c r="Y205" s="1"/>
    </row>
    <row r="206">
      <c r="A206" s="7" t="s">
        <v>373</v>
      </c>
      <c r="B206" s="7" t="s">
        <v>374</v>
      </c>
      <c r="C206" s="12" t="s">
        <v>263</v>
      </c>
      <c r="D206" s="9" t="s">
        <v>107</v>
      </c>
      <c r="E206" s="1" t="s">
        <v>43</v>
      </c>
      <c r="F206" s="1" t="s">
        <v>26</v>
      </c>
      <c r="G206" s="7" t="s">
        <v>375</v>
      </c>
      <c r="H206" s="10" t="s">
        <v>149</v>
      </c>
      <c r="I206" s="11" t="s">
        <v>376</v>
      </c>
      <c r="J206" s="11"/>
      <c r="K206" s="7">
        <v>2</v>
      </c>
      <c r="L206" s="7">
        <v>2</v>
      </c>
      <c r="Q206" s="7">
        <v>45</v>
      </c>
      <c r="R206" s="7">
        <v>50</v>
      </c>
      <c r="S206" s="1" t="str">
        <f t="shared" si="14"/>
        <v>True</v>
      </c>
      <c r="T206" s="7" t="s">
        <v>377</v>
      </c>
      <c r="U206" s="6" t="str">
        <f>IFERROR(__xludf.DUMMYFUNCTION("TRIM(CONCAT(""[right]"", REGEXREPLACE(C206, ""([ROYGBPXZC_]|1?[0-9])"", ""[img=119]res://textures/icons/$0.png[/img]\\n"")))"),"[right][img=119]res://textures/icons/_.png[/img]\n")</f>
        <v>[right][img=119]res://textures/icons/_.png[/img]\n</v>
      </c>
      <c r="V206" s="1" t="str">
        <f>IFERROR(__xludf.DUMMYFUNCTION("SUBSTITUTE(SUBSTITUTE(SUBSTITUTE(SUBSTITUTE(REGEXREPLACE(SUBSTITUTE(SUBSTITUTE(SUBSTITUTE(SUBSTITUTE(REGEXREPLACE(I206, ""(\[([ROYGBPTQUXZC_]|1?[0-9])\])"", ""[img=45]res://textures/icons/$2.png[/img]""),""--"",""—""),""-&gt;"",""•""),""~@"", CONCATENATE(""["&amp;"i]"",REGEXEXTRACT(B206,""^([\s\S]*),|$""),""[/i]"")),""~"", CONCATENATE(""[i]"",B206,""[/i]"")),""(\([\s\S]*?\))"",""[i][color=#34343A]$0[/color][/i]""), ""&lt;"", ""[""), ""&gt;"", ""]""), ""[/p][p]"", ""[font_size=15]\n\n[/font_size]""), ""[br/]"", ""\n"")"),"[center][i][color=#34343A]([img=45]res://textures/icons/_.png[/img] can be paid with either [img=45]res://textures/icons/Y.png[/img] or [img=45]res://textures/icons/G.png[/img].)[/color][/i]\n[u]Trickshot[/u] [i][color=#34343A](The first time [i]Local Ran"&amp;"ge's Prodigy[/i] is chosen by a style card each turn, create a 'Bullet' on the battlefield.)[/color][/i][/center]")</f>
        <v xml:space="preserve">[center][i][color=#34343A]([img=45]res://textures/icons/_.png[/img] can be paid with either [img=45]res://textures/icons/Y.png[/img] or [img=45]res://textures/icons/G.png[/img].)[/color][/i]\n[u]Trickshot[/u] [i][color=#34343A](The first time [i]Local Range's Prodigy[/i] is chosen by a style card each turn, create a 'Bullet' on the battlefield.)[/color][/i][/center]</v>
      </c>
      <c r="W206" s="6" t="str">
        <f t="shared" si="15"/>
        <v>[i]Asset[/i]</v>
      </c>
      <c r="X206" s="1" t="str">
        <f t="shared" si="16"/>
        <v>RS_MC_YG_001</v>
      </c>
      <c r="Y206" s="1"/>
    </row>
    <row r="207">
      <c r="A207" s="7" t="s">
        <v>76</v>
      </c>
      <c r="B207" s="6" t="str">
        <f t="shared" si="13"/>
        <v>C</v>
      </c>
      <c r="C207" s="8"/>
      <c r="D207" s="9" t="str">
        <f>IFERROR(__xludf.DUMMYFUNCTION("IF(ISBLANK(A207),"""",SWITCH(IF(T207="""",0,COUNTA(SPLIT(T207,"" ""))),0,""Generic"",1,TRIM(T207),2,""Multicolor"",3,""Multicolor"",4,""Multicolor"",5,""Multicolor"",6,""Multicolor"",7,""Multicolor"",8,""Multicolor""))"),"Generic")</f>
        <v>Generic</v>
      </c>
      <c r="E207" s="1"/>
      <c r="F207" s="1"/>
      <c r="H207" s="10"/>
      <c r="I207" s="11"/>
      <c r="J207" s="11"/>
      <c r="K207" s="6" t="s">
        <v>39</v>
      </c>
      <c r="L207" s="6" t="s">
        <v>39</v>
      </c>
      <c r="Q207" s="7">
        <v>60</v>
      </c>
      <c r="R207" s="7">
        <v>50</v>
      </c>
      <c r="S207" s="1" t="str">
        <f t="shared" si="14"/>
        <v>False</v>
      </c>
      <c r="T207" s="6" t="str">
        <f>IFERROR(__xludf.DUMMYFUNCTION("CONCATENATE(if(REGEXMATCH(C207,""R""),"" Red"",""""),if(REGEXMATCH(C207,""O""),"" Orange"",""""),if(REGEXMATCH(C207,""Y""),"" Yellow"",""""),if(REGEXMATCH(C207,""G""),"" Green"",""""),if(REGEXMATCH(C207,""B""),"" Blue"",""""),if(REGEXMATCH(C207,""P""),"" "&amp;"Purple"",""""))"),"")</f>
        <v/>
      </c>
      <c r="U207" s="6" t="str">
        <f>IFERROR(__xludf.DUMMYFUNCTION("TRIM(CONCAT(""[right]"", REGEXREPLACE(C207, ""([ROYGBPXZC_]|1?[0-9])"", ""[img=119]res://textures/icons/$0.png[/img]\\n"")))"),"[right]")</f>
        <v>[right]</v>
      </c>
      <c r="V207" s="1" t="str">
        <f>IFERROR(__xludf.DUMMYFUNCTION("SUBSTITUTE(SUBSTITUTE(SUBSTITUTE(SUBSTITUTE(REGEXREPLACE(SUBSTITUTE(SUBSTITUTE(SUBSTITUTE(SUBSTITUTE(REGEXREPLACE(I207, ""(\[([ROYGBPTQUXZC_]|1?[0-9])\])"", ""[img=45]res://textures/icons/$2.png[/img]""),""--"",""—""),""-&gt;"",""•""),""~@"", CONCATENATE(""["&amp;"i]"",REGEXEXTRACT(B207,""^([\s\S]*),|$""),""[/i]"")),""~"", CONCATENATE(""[i]"",B207,""[/i]"")),""(\([\s\S]*?\))"",""[i][color=#34343A]$0[/color][/i]""), ""&lt;"", ""[""), ""&gt;"", ""]""), ""[/p][p]"", ""[font_size=15]\n\n[/font_size]""), ""[br/]"", ""\n"")"),"")</f>
        <v/>
      </c>
      <c r="W207" s="6" t="str">
        <f t="shared" si="15"/>
        <v>[i][/i]</v>
      </c>
      <c r="X207" s="1" t="str">
        <f t="shared" si="16"/>
        <v>0</v>
      </c>
      <c r="Y207" s="1"/>
    </row>
    <row r="208">
      <c r="A208" s="7" t="s">
        <v>76</v>
      </c>
      <c r="B208" s="6" t="str">
        <f t="shared" si="13"/>
        <v>C</v>
      </c>
      <c r="C208" s="8"/>
      <c r="D208" s="9" t="str">
        <f>IFERROR(__xludf.DUMMYFUNCTION("IF(ISBLANK(A208),"""",SWITCH(IF(T208="""",0,COUNTA(SPLIT(T208,"" ""))),0,""Generic"",1,TRIM(T208),2,""Multicolor"",3,""Multicolor"",4,""Multicolor"",5,""Multicolor"",6,""Multicolor"",7,""Multicolor"",8,""Multicolor""))"),"Generic")</f>
        <v>Generic</v>
      </c>
      <c r="E208" s="1"/>
      <c r="F208" s="1"/>
      <c r="H208" s="10"/>
      <c r="I208" s="11"/>
      <c r="J208" s="11"/>
      <c r="K208" s="6" t="s">
        <v>39</v>
      </c>
      <c r="L208" s="6" t="s">
        <v>39</v>
      </c>
      <c r="Q208" s="7">
        <v>60</v>
      </c>
      <c r="R208" s="7">
        <v>50</v>
      </c>
      <c r="S208" s="1" t="str">
        <f t="shared" si="14"/>
        <v>False</v>
      </c>
      <c r="T208" s="6" t="str">
        <f>IFERROR(__xludf.DUMMYFUNCTION("CONCATENATE(if(REGEXMATCH(C208,""R""),"" Red"",""""),if(REGEXMATCH(C208,""O""),"" Orange"",""""),if(REGEXMATCH(C208,""Y""),"" Yellow"",""""),if(REGEXMATCH(C208,""G""),"" Green"",""""),if(REGEXMATCH(C208,""B""),"" Blue"",""""),if(REGEXMATCH(C208,""P""),"" "&amp;"Purple"",""""))"),"")</f>
        <v/>
      </c>
      <c r="U208" s="6" t="str">
        <f>IFERROR(__xludf.DUMMYFUNCTION("TRIM(CONCAT(""[right]"", REGEXREPLACE(C208, ""([ROYGBPXZC_]|1?[0-9])"", ""[img=119]res://textures/icons/$0.png[/img]\\n"")))"),"[right]")</f>
        <v>[right]</v>
      </c>
      <c r="V208" s="1" t="str">
        <f>IFERROR(__xludf.DUMMYFUNCTION("SUBSTITUTE(SUBSTITUTE(SUBSTITUTE(SUBSTITUTE(REGEXREPLACE(SUBSTITUTE(SUBSTITUTE(SUBSTITUTE(SUBSTITUTE(REGEXREPLACE(I208, ""(\[([ROYGBPTQUXZC_]|1?[0-9])\])"", ""[img=45]res://textures/icons/$2.png[/img]""),""--"",""—""),""-&gt;"",""•""),""~@"", CONCATENATE(""["&amp;"i]"",REGEXEXTRACT(B208,""^([\s\S]*),|$""),""[/i]"")),""~"", CONCATENATE(""[i]"",B208,""[/i]"")),""(\([\s\S]*?\))"",""[i][color=#34343A]$0[/color][/i]""), ""&lt;"", ""[""), ""&gt;"", ""]""), ""[/p][p]"", ""[font_size=15]\n\n[/font_size]""), ""[br/]"", ""\n"")"),"")</f>
        <v/>
      </c>
      <c r="W208" s="6" t="str">
        <f t="shared" si="15"/>
        <v>[i][/i]</v>
      </c>
      <c r="X208" s="1" t="str">
        <f t="shared" si="16"/>
        <v>0</v>
      </c>
      <c r="Y208" s="1"/>
    </row>
    <row r="209">
      <c r="A209" s="7" t="s">
        <v>76</v>
      </c>
      <c r="B209" s="6" t="str">
        <f t="shared" si="13"/>
        <v>C</v>
      </c>
      <c r="C209" s="8"/>
      <c r="D209" s="9" t="str">
        <f>IFERROR(__xludf.DUMMYFUNCTION("IF(ISBLANK(A209),"""",SWITCH(IF(T209="""",0,COUNTA(SPLIT(T209,"" ""))),0,""Generic"",1,TRIM(T209),2,""Multicolor"",3,""Multicolor"",4,""Multicolor"",5,""Multicolor"",6,""Multicolor"",7,""Multicolor"",8,""Multicolor""))"),"Generic")</f>
        <v>Generic</v>
      </c>
      <c r="E209" s="1"/>
      <c r="F209" s="1"/>
      <c r="H209" s="10"/>
      <c r="I209" s="11"/>
      <c r="J209" s="11"/>
      <c r="K209" s="6" t="s">
        <v>39</v>
      </c>
      <c r="L209" s="6" t="s">
        <v>39</v>
      </c>
      <c r="Q209" s="7">
        <v>60</v>
      </c>
      <c r="R209" s="7">
        <v>50</v>
      </c>
      <c r="S209" s="1" t="str">
        <f t="shared" si="14"/>
        <v>False</v>
      </c>
      <c r="T209" s="6" t="str">
        <f>IFERROR(__xludf.DUMMYFUNCTION("CONCATENATE(if(REGEXMATCH(C209,""R""),"" Red"",""""),if(REGEXMATCH(C209,""O""),"" Orange"",""""),if(REGEXMATCH(C209,""Y""),"" Yellow"",""""),if(REGEXMATCH(C209,""G""),"" Green"",""""),if(REGEXMATCH(C209,""B""),"" Blue"",""""),if(REGEXMATCH(C209,""P""),"" "&amp;"Purple"",""""))"),"")</f>
        <v/>
      </c>
      <c r="U209" s="6" t="str">
        <f>IFERROR(__xludf.DUMMYFUNCTION("TRIM(CONCAT(""[right]"", REGEXREPLACE(C209, ""([ROYGBPXZC_]|1?[0-9])"", ""[img=119]res://textures/icons/$0.png[/img]\\n"")))"),"[right]")</f>
        <v>[right]</v>
      </c>
      <c r="V209" s="1" t="str">
        <f>IFERROR(__xludf.DUMMYFUNCTION("SUBSTITUTE(SUBSTITUTE(SUBSTITUTE(SUBSTITUTE(REGEXREPLACE(SUBSTITUTE(SUBSTITUTE(SUBSTITUTE(SUBSTITUTE(REGEXREPLACE(I209, ""(\[([ROYGBPTQUXZC_]|1?[0-9])\])"", ""[img=45]res://textures/icons/$2.png[/img]""),""--"",""—""),""-&gt;"",""•""),""~@"", CONCATENATE(""["&amp;"i]"",REGEXEXTRACT(B209,""^([\s\S]*),|$""),""[/i]"")),""~"", CONCATENATE(""[i]"",B209,""[/i]"")),""(\([\s\S]*?\))"",""[i][color=#34343A]$0[/color][/i]""), ""&lt;"", ""[""), ""&gt;"", ""]""), ""[/p][p]"", ""[font_size=15]\n\n[/font_size]""), ""[br/]"", ""\n"")"),"")</f>
        <v/>
      </c>
      <c r="W209" s="6" t="str">
        <f t="shared" si="15"/>
        <v>[i][/i]</v>
      </c>
      <c r="X209" s="1" t="str">
        <f t="shared" si="16"/>
        <v>0</v>
      </c>
      <c r="Y209" s="1"/>
    </row>
    <row r="210">
      <c r="A210" s="7" t="s">
        <v>76</v>
      </c>
      <c r="B210" s="6" t="str">
        <f t="shared" si="13"/>
        <v>C</v>
      </c>
      <c r="C210" s="8"/>
      <c r="D210" s="9" t="str">
        <f>IFERROR(__xludf.DUMMYFUNCTION("IF(ISBLANK(A210),"""",SWITCH(IF(T210="""",0,COUNTA(SPLIT(T210,"" ""))),0,""Generic"",1,TRIM(T210),2,""Multicolor"",3,""Multicolor"",4,""Multicolor"",5,""Multicolor"",6,""Multicolor"",7,""Multicolor"",8,""Multicolor""))"),"Generic")</f>
        <v>Generic</v>
      </c>
      <c r="E210" s="1"/>
      <c r="F210" s="1"/>
      <c r="H210" s="10"/>
      <c r="I210" s="11"/>
      <c r="J210" s="11"/>
      <c r="K210" s="6" t="s">
        <v>39</v>
      </c>
      <c r="L210" s="6" t="s">
        <v>39</v>
      </c>
      <c r="Q210" s="7">
        <v>60</v>
      </c>
      <c r="R210" s="7">
        <v>50</v>
      </c>
      <c r="S210" s="1" t="str">
        <f t="shared" si="14"/>
        <v>False</v>
      </c>
      <c r="T210" s="6" t="str">
        <f>IFERROR(__xludf.DUMMYFUNCTION("CONCATENATE(if(REGEXMATCH(C210,""R""),"" Red"",""""),if(REGEXMATCH(C210,""O""),"" Orange"",""""),if(REGEXMATCH(C210,""Y""),"" Yellow"",""""),if(REGEXMATCH(C210,""G""),"" Green"",""""),if(REGEXMATCH(C210,""B""),"" Blue"",""""),if(REGEXMATCH(C210,""P""),"" "&amp;"Purple"",""""))"),"")</f>
        <v/>
      </c>
      <c r="U210" s="6" t="str">
        <f>IFERROR(__xludf.DUMMYFUNCTION("TRIM(CONCAT(""[right]"", REGEXREPLACE(C210, ""([ROYGBPXZC_]|1?[0-9])"", ""[img=119]res://textures/icons/$0.png[/img]\\n"")))"),"[right]")</f>
        <v>[right]</v>
      </c>
      <c r="V210" s="1" t="str">
        <f>IFERROR(__xludf.DUMMYFUNCTION("SUBSTITUTE(SUBSTITUTE(SUBSTITUTE(SUBSTITUTE(REGEXREPLACE(SUBSTITUTE(SUBSTITUTE(SUBSTITUTE(SUBSTITUTE(REGEXREPLACE(I210, ""(\[([ROYGBPTQUXZC_]|1?[0-9])\])"", ""[img=45]res://textures/icons/$2.png[/img]""),""--"",""—""),""-&gt;"",""•""),""~@"", CONCATENATE(""["&amp;"i]"",REGEXEXTRACT(B210,""^([\s\S]*),|$""),""[/i]"")),""~"", CONCATENATE(""[i]"",B210,""[/i]"")),""(\([\s\S]*?\))"",""[i][color=#34343A]$0[/color][/i]""), ""&lt;"", ""[""), ""&gt;"", ""]""), ""[/p][p]"", ""[font_size=15]\n\n[/font_size]""), ""[br/]"", ""\n"")"),"")</f>
        <v/>
      </c>
      <c r="W210" s="6" t="str">
        <f t="shared" si="15"/>
        <v>[i][/i]</v>
      </c>
      <c r="X210" s="1" t="str">
        <f t="shared" si="16"/>
        <v>0</v>
      </c>
      <c r="Y210" s="1"/>
    </row>
    <row r="211">
      <c r="A211" s="7" t="s">
        <v>76</v>
      </c>
      <c r="B211" s="6" t="str">
        <f t="shared" si="13"/>
        <v>C</v>
      </c>
      <c r="C211" s="8"/>
      <c r="D211" s="9" t="str">
        <f>IFERROR(__xludf.DUMMYFUNCTION("IF(ISBLANK(A211),"""",SWITCH(IF(T211="""",0,COUNTA(SPLIT(T211,"" ""))),0,""Generic"",1,TRIM(T211),2,""Multicolor"",3,""Multicolor"",4,""Multicolor"",5,""Multicolor"",6,""Multicolor"",7,""Multicolor"",8,""Multicolor""))"),"Generic")</f>
        <v>Generic</v>
      </c>
      <c r="E211" s="1"/>
      <c r="F211" s="1"/>
      <c r="H211" s="10"/>
      <c r="I211" s="11"/>
      <c r="J211" s="11"/>
      <c r="K211" s="6" t="s">
        <v>39</v>
      </c>
      <c r="L211" s="6" t="s">
        <v>39</v>
      </c>
      <c r="Q211" s="7">
        <v>60</v>
      </c>
      <c r="R211" s="7">
        <v>50</v>
      </c>
      <c r="S211" s="1" t="str">
        <f t="shared" si="14"/>
        <v>False</v>
      </c>
      <c r="T211" s="6" t="str">
        <f>IFERROR(__xludf.DUMMYFUNCTION("CONCATENATE(if(REGEXMATCH(C211,""R""),"" Red"",""""),if(REGEXMATCH(C211,""O""),"" Orange"",""""),if(REGEXMATCH(C211,""Y""),"" Yellow"",""""),if(REGEXMATCH(C211,""G""),"" Green"",""""),if(REGEXMATCH(C211,""B""),"" Blue"",""""),if(REGEXMATCH(C211,""P""),"" "&amp;"Purple"",""""))"),"")</f>
        <v/>
      </c>
      <c r="U211" s="6" t="str">
        <f>IFERROR(__xludf.DUMMYFUNCTION("TRIM(CONCAT(""[right]"", REGEXREPLACE(C211, ""([ROYGBPXZC_]|1?[0-9])"", ""[img=119]res://textures/icons/$0.png[/img]\\n"")))"),"[right]")</f>
        <v>[right]</v>
      </c>
      <c r="V211" s="1" t="str">
        <f>IFERROR(__xludf.DUMMYFUNCTION("SUBSTITUTE(SUBSTITUTE(SUBSTITUTE(SUBSTITUTE(REGEXREPLACE(SUBSTITUTE(SUBSTITUTE(SUBSTITUTE(SUBSTITUTE(REGEXREPLACE(I211, ""(\[([ROYGBPTQUXZC_]|1?[0-9])\])"", ""[img=45]res://textures/icons/$2.png[/img]""),""--"",""—""),""-&gt;"",""•""),""~@"", CONCATENATE(""["&amp;"i]"",REGEXEXTRACT(B211,""^([\s\S]*),|$""),""[/i]"")),""~"", CONCATENATE(""[i]"",B211,""[/i]"")),""(\([\s\S]*?\))"",""[i][color=#34343A]$0[/color][/i]""), ""&lt;"", ""[""), ""&gt;"", ""]""), ""[/p][p]"", ""[font_size=15]\n\n[/font_size]""), ""[br/]"", ""\n"")"),"")</f>
        <v/>
      </c>
      <c r="W211" s="6" t="str">
        <f t="shared" si="15"/>
        <v>[i][/i]</v>
      </c>
      <c r="X211" s="1" t="str">
        <f t="shared" si="16"/>
        <v>0</v>
      </c>
      <c r="Y211" s="1"/>
    </row>
    <row r="212">
      <c r="A212" s="7" t="s">
        <v>76</v>
      </c>
      <c r="B212" s="6" t="str">
        <f t="shared" si="13"/>
        <v>C</v>
      </c>
      <c r="C212" s="8"/>
      <c r="D212" s="9" t="str">
        <f>IFERROR(__xludf.DUMMYFUNCTION("IF(ISBLANK(A212),"""",SWITCH(IF(T212="""",0,COUNTA(SPLIT(T212,"" ""))),0,""Generic"",1,TRIM(T212),2,""Multicolor"",3,""Multicolor"",4,""Multicolor"",5,""Multicolor"",6,""Multicolor"",7,""Multicolor"",8,""Multicolor""))"),"Generic")</f>
        <v>Generic</v>
      </c>
      <c r="E212" s="1"/>
      <c r="F212" s="1"/>
      <c r="H212" s="10"/>
      <c r="I212" s="11"/>
      <c r="J212" s="11"/>
      <c r="K212" s="6" t="s">
        <v>39</v>
      </c>
      <c r="L212" s="6" t="s">
        <v>39</v>
      </c>
      <c r="Q212" s="7">
        <v>60</v>
      </c>
      <c r="R212" s="7">
        <v>50</v>
      </c>
      <c r="S212" s="1" t="str">
        <f t="shared" si="14"/>
        <v>False</v>
      </c>
      <c r="T212" s="6" t="str">
        <f>IFERROR(__xludf.DUMMYFUNCTION("CONCATENATE(if(REGEXMATCH(C212,""R""),"" Red"",""""),if(REGEXMATCH(C212,""O""),"" Orange"",""""),if(REGEXMATCH(C212,""Y""),"" Yellow"",""""),if(REGEXMATCH(C212,""G""),"" Green"",""""),if(REGEXMATCH(C212,""B""),"" Blue"",""""),if(REGEXMATCH(C212,""P""),"" "&amp;"Purple"",""""))"),"")</f>
        <v/>
      </c>
      <c r="U212" s="6" t="str">
        <f>IFERROR(__xludf.DUMMYFUNCTION("TRIM(CONCAT(""[right]"", REGEXREPLACE(C212, ""([ROYGBPXZC_]|1?[0-9])"", ""[img=119]res://textures/icons/$0.png[/img]\\n"")))"),"[right]")</f>
        <v>[right]</v>
      </c>
      <c r="V212" s="1" t="str">
        <f>IFERROR(__xludf.DUMMYFUNCTION("SUBSTITUTE(SUBSTITUTE(SUBSTITUTE(SUBSTITUTE(REGEXREPLACE(SUBSTITUTE(SUBSTITUTE(SUBSTITUTE(SUBSTITUTE(REGEXREPLACE(I212, ""(\[([ROYGBPTQUXZC_]|1?[0-9])\])"", ""[img=45]res://textures/icons/$2.png[/img]""),""--"",""—""),""-&gt;"",""•""),""~@"", CONCATENATE(""["&amp;"i]"",REGEXEXTRACT(B212,""^([\s\S]*),|$""),""[/i]"")),""~"", CONCATENATE(""[i]"",B212,""[/i]"")),""(\([\s\S]*?\))"",""[i][color=#34343A]$0[/color][/i]""), ""&lt;"", ""[""), ""&gt;"", ""]""), ""[/p][p]"", ""[font_size=15]\n\n[/font_size]""), ""[br/]"", ""\n"")"),"")</f>
        <v/>
      </c>
      <c r="W212" s="6" t="str">
        <f t="shared" si="15"/>
        <v>[i][/i]</v>
      </c>
      <c r="X212" s="1" t="str">
        <f t="shared" si="16"/>
        <v>0</v>
      </c>
      <c r="Y212" s="1"/>
    </row>
    <row r="213">
      <c r="A213" s="7" t="s">
        <v>76</v>
      </c>
      <c r="B213" s="6" t="str">
        <f t="shared" si="13"/>
        <v>C</v>
      </c>
      <c r="C213" s="8"/>
      <c r="D213" s="9" t="str">
        <f>IFERROR(__xludf.DUMMYFUNCTION("IF(ISBLANK(A213),"""",SWITCH(IF(T213="""",0,COUNTA(SPLIT(T213,"" ""))),0,""Generic"",1,TRIM(T213),2,""Multicolor"",3,""Multicolor"",4,""Multicolor"",5,""Multicolor"",6,""Multicolor"",7,""Multicolor"",8,""Multicolor""))"),"Generic")</f>
        <v>Generic</v>
      </c>
      <c r="E213" s="1"/>
      <c r="F213" s="1"/>
      <c r="H213" s="10"/>
      <c r="I213" s="11"/>
      <c r="J213" s="11"/>
      <c r="K213" s="6" t="s">
        <v>39</v>
      </c>
      <c r="L213" s="6" t="s">
        <v>39</v>
      </c>
      <c r="Q213" s="7">
        <v>60</v>
      </c>
      <c r="R213" s="7">
        <v>50</v>
      </c>
      <c r="S213" s="1" t="str">
        <f t="shared" si="14"/>
        <v>False</v>
      </c>
      <c r="T213" s="6" t="str">
        <f>IFERROR(__xludf.DUMMYFUNCTION("CONCATENATE(if(REGEXMATCH(C213,""R""),"" Red"",""""),if(REGEXMATCH(C213,""O""),"" Orange"",""""),if(REGEXMATCH(C213,""Y""),"" Yellow"",""""),if(REGEXMATCH(C213,""G""),"" Green"",""""),if(REGEXMATCH(C213,""B""),"" Blue"",""""),if(REGEXMATCH(C213,""P""),"" "&amp;"Purple"",""""))"),"")</f>
        <v/>
      </c>
      <c r="U213" s="6" t="str">
        <f>IFERROR(__xludf.DUMMYFUNCTION("TRIM(CONCAT(""[right]"", REGEXREPLACE(C213, ""([ROYGBPXZC_]|1?[0-9])"", ""[img=119]res://textures/icons/$0.png[/img]\\n"")))"),"[right]")</f>
        <v>[right]</v>
      </c>
      <c r="V213" s="1" t="str">
        <f>IFERROR(__xludf.DUMMYFUNCTION("SUBSTITUTE(SUBSTITUTE(SUBSTITUTE(SUBSTITUTE(REGEXREPLACE(SUBSTITUTE(SUBSTITUTE(SUBSTITUTE(SUBSTITUTE(REGEXREPLACE(I213, ""(\[([ROYGBPTQUXZC_]|1?[0-9])\])"", ""[img=45]res://textures/icons/$2.png[/img]""),""--"",""—""),""-&gt;"",""•""),""~@"", CONCATENATE(""["&amp;"i]"",REGEXEXTRACT(B213,""^([\s\S]*),|$""),""[/i]"")),""~"", CONCATENATE(""[i]"",B213,""[/i]"")),""(\([\s\S]*?\))"",""[i][color=#34343A]$0[/color][/i]""), ""&lt;"", ""[""), ""&gt;"", ""]""), ""[/p][p]"", ""[font_size=15]\n\n[/font_size]""), ""[br/]"", ""\n"")"),"")</f>
        <v/>
      </c>
      <c r="W213" s="6" t="str">
        <f t="shared" si="15"/>
        <v>[i][/i]</v>
      </c>
      <c r="X213" s="1" t="str">
        <f t="shared" si="16"/>
        <v>0</v>
      </c>
      <c r="Y213" s="1"/>
    </row>
    <row r="214">
      <c r="A214" s="7" t="s">
        <v>76</v>
      </c>
      <c r="B214" s="6" t="str">
        <f t="shared" si="13"/>
        <v>C</v>
      </c>
      <c r="C214" s="8"/>
      <c r="D214" s="9" t="str">
        <f>IFERROR(__xludf.DUMMYFUNCTION("IF(ISBLANK(A214),"""",SWITCH(IF(T214="""",0,COUNTA(SPLIT(T214,"" ""))),0,""Generic"",1,TRIM(T214),2,""Multicolor"",3,""Multicolor"",4,""Multicolor"",5,""Multicolor"",6,""Multicolor"",7,""Multicolor"",8,""Multicolor""))"),"Generic")</f>
        <v>Generic</v>
      </c>
      <c r="E214" s="1"/>
      <c r="F214" s="1"/>
      <c r="H214" s="10"/>
      <c r="I214" s="11"/>
      <c r="J214" s="11"/>
      <c r="K214" s="6" t="s">
        <v>39</v>
      </c>
      <c r="L214" s="6" t="s">
        <v>39</v>
      </c>
      <c r="Q214" s="7">
        <v>60</v>
      </c>
      <c r="R214" s="7">
        <v>50</v>
      </c>
      <c r="S214" s="1" t="str">
        <f t="shared" si="14"/>
        <v>False</v>
      </c>
      <c r="T214" s="6" t="str">
        <f>IFERROR(__xludf.DUMMYFUNCTION("CONCATENATE(if(REGEXMATCH(C214,""R""),"" Red"",""""),if(REGEXMATCH(C214,""O""),"" Orange"",""""),if(REGEXMATCH(C214,""Y""),"" Yellow"",""""),if(REGEXMATCH(C214,""G""),"" Green"",""""),if(REGEXMATCH(C214,""B""),"" Blue"",""""),if(REGEXMATCH(C214,""P""),"" "&amp;"Purple"",""""))"),"")</f>
        <v/>
      </c>
      <c r="U214" s="6" t="str">
        <f>IFERROR(__xludf.DUMMYFUNCTION("TRIM(CONCAT(""[right]"", REGEXREPLACE(C214, ""([ROYGBPXZC_]|1?[0-9])"", ""[img=119]res://textures/icons/$0.png[/img]\\n"")))"),"[right]")</f>
        <v>[right]</v>
      </c>
      <c r="V214" s="1" t="str">
        <f>IFERROR(__xludf.DUMMYFUNCTION("SUBSTITUTE(SUBSTITUTE(SUBSTITUTE(SUBSTITUTE(REGEXREPLACE(SUBSTITUTE(SUBSTITUTE(SUBSTITUTE(SUBSTITUTE(REGEXREPLACE(I214, ""(\[([ROYGBPTQUXZC_]|1?[0-9])\])"", ""[img=45]res://textures/icons/$2.png[/img]""),""--"",""—""),""-&gt;"",""•""),""~@"", CONCATENATE(""["&amp;"i]"",REGEXEXTRACT(B214,""^([\s\S]*),|$""),""[/i]"")),""~"", CONCATENATE(""[i]"",B214,""[/i]"")),""(\([\s\S]*?\))"",""[i][color=#34343A]$0[/color][/i]""), ""&lt;"", ""[""), ""&gt;"", ""]""), ""[/p][p]"", ""[font_size=15]\n\n[/font_size]""), ""[br/]"", ""\n"")"),"")</f>
        <v/>
      </c>
      <c r="W214" s="6" t="str">
        <f t="shared" si="15"/>
        <v>[i][/i]</v>
      </c>
      <c r="X214" s="1" t="str">
        <f t="shared" si="16"/>
        <v>0</v>
      </c>
      <c r="Y214" s="1"/>
    </row>
    <row r="215">
      <c r="A215" s="7" t="s">
        <v>378</v>
      </c>
      <c r="B215" s="7" t="s">
        <v>379</v>
      </c>
      <c r="C215" s="12" t="s">
        <v>380</v>
      </c>
      <c r="D215" s="9" t="str">
        <f>IFERROR(__xludf.DUMMYFUNCTION("IF(ISBLANK(A215),"""",SWITCH(IF(T215="""",0,COUNTA(SPLIT(T215,"" ""))),0,""Generic"",1,TRIM(T215),2,""Multicolor"",3,""Multicolor"",4,""Multicolor"",5,""Multicolor"",6,""Multicolor"",7,""Multicolor"",8,""Multicolor""))"),"Multicolor")</f>
        <v>Multicolor</v>
      </c>
      <c r="E215" s="1" t="s">
        <v>49</v>
      </c>
      <c r="F215" s="1" t="s">
        <v>80</v>
      </c>
      <c r="G215" s="7" t="s">
        <v>381</v>
      </c>
      <c r="H215" s="20">
        <v>9</v>
      </c>
      <c r="I215" s="11" t="s">
        <v>382</v>
      </c>
      <c r="K215" s="7">
        <v>3</v>
      </c>
      <c r="L215" s="7">
        <v>3</v>
      </c>
      <c r="O215" s="11" t="s">
        <v>383</v>
      </c>
      <c r="P215" s="7" t="s">
        <v>384</v>
      </c>
      <c r="Q215" s="7">
        <v>45</v>
      </c>
      <c r="R215" s="7">
        <v>35</v>
      </c>
      <c r="S215" s="1" t="str">
        <f t="shared" si="14"/>
        <v>True</v>
      </c>
      <c r="T215" s="6" t="str">
        <f>IFERROR(__xludf.DUMMYFUNCTION("CONCATENATE(if(REGEXMATCH(C215,""R""),"" Red"",""""),if(REGEXMATCH(C215,""O""),"" Orange"",""""),if(REGEXMATCH(C215,""Y""),"" Yellow"",""""),if(REGEXMATCH(C215,""G""),"" Green"",""""),if(REGEXMATCH(C215,""B""),"" Blue"",""""),if(REGEXMATCH(C215,""P""),"" "&amp;"Purple"",""""))")," Yellow Blue")</f>
        <v xml:space="preserve">Yellow Blue</v>
      </c>
      <c r="U215" s="6" t="str">
        <f>IFERROR(__xludf.DUMMYFUNCTION("TRIM(CONCAT(""[right]"", REGEXREPLACE(C215, ""([ROYGBPXZC_]|1?[0-9])"", ""[img=119]res://textures/icons/$0.png[/img]\\n"")))"),"[right][img=119]res://textures/icons/1.png[/img]\n[img=119]res://textures/icons/Y.png[/img]\n[img=119]res://textures/icons/B.png[/img]\n")</f>
        <v>[right][img=119]res://textures/icons/1.png[/img]\n[img=119]res://textures/icons/Y.png[/img]\n[img=119]res://textures/icons/B.png[/img]\n</v>
      </c>
      <c r="V215" s="1" t="str">
        <f>IFERROR(__xludf.DUMMYFUNCTION("SUBSTITUTE(SUBSTITUTE(SUBSTITUTE(SUBSTITUTE(REGEXREPLACE(SUBSTITUTE(SUBSTITUTE(SUBSTITUTE(SUBSTITUTE(REGEXREPLACE(I215, ""(\[([ROYGBPTQUXZC_]|1?[0-9])\])"", ""[img=45]res://textures/icons/$2.png[/img]""),""--"",""—""),""-&gt;"",""•""),""~@"", CONCATENATE(""["&amp;"i]"",REGEXEXTRACT(B215,""^([\s\S]*),|$""),""[/i]"")),""~"", CONCATENATE(""[i]"",B215,""[/i]"")),""(\([\s\S]*?\))"",""[i][color=#34343A]$0[/color][/i]""), ""&lt;"", ""[""), ""&gt;"", ""]""), ""[/p][p]"", ""[font_size=15]\n\n[/font_size]""), ""[br/]"", ""\n"")"),"[p][i]Emergency Response Administrator[/i] is not renowned.[font_size=15]\n\n[/font_size]As each round of the game starts, choose one, until end of round:[ul]Whenever a combatant you control deals combat damage to an opponent, your commander gains 1 loyal"&amp;"ty.\nWhenever your commander gains loyalty, choose a combatant; [u]Heal it 1[/u][/ul][font_size=15]\n\n[/font_size][b][i]As Asset[/i] — [/b][u]Inexhaustible[/u][/p]")</f>
        <v xml:space="preserve">[p][i]Emergency Response Administrator[/i] is not renowned.[font_size=15]\n\n[/font_size]As each round of the game starts, choose one, until end of round:[ul]Whenever a combatant you control deals combat damage to an opponent, your commander gains 1 loyalty.\nWhenever your commander gains loyalty, choose a combatant; [u]Heal it 1[/u][/ul][font_size=15]\n\n[/font_size][b][i]As Asset[/i] — [/b][u]Inexhaustible[/u][/p]</v>
      </c>
      <c r="W215" s="6" t="str">
        <f t="shared" si="15"/>
        <v>[i]Commander[/i]</v>
      </c>
      <c r="X215" s="1" t="str">
        <f t="shared" si="16"/>
        <v>RS_M_CMDR_YB_001</v>
      </c>
      <c r="Y215" s="1"/>
    </row>
    <row r="216">
      <c r="A216" s="7" t="s">
        <v>385</v>
      </c>
      <c r="B216" s="7" t="str">
        <f t="shared" si="13"/>
        <v>M_CMDR_YB_001b</v>
      </c>
      <c r="C216" s="12" t="s">
        <v>380</v>
      </c>
      <c r="D216" s="9" t="str">
        <f>IFERROR(__xludf.DUMMYFUNCTION("IF(ISBLANK(A216),"""",SWITCH(IF(T216="""",0,COUNTA(SPLIT(T216,"" ""))),0,""Generic"",1,TRIM(T216),2,""Multicolor"",3,""Multicolor"",4,""Multicolor"",5,""Multicolor"",6,""Multicolor"",7,""Multicolor"",8,""Multicolor""))"),"Multicolor")</f>
        <v>Multicolor</v>
      </c>
      <c r="E216" s="1"/>
      <c r="F216" s="1" t="s">
        <v>63</v>
      </c>
      <c r="G216" s="7" t="s">
        <v>386</v>
      </c>
      <c r="H216" s="10" t="s">
        <v>28</v>
      </c>
      <c r="I216" s="11" t="s">
        <v>387</v>
      </c>
      <c r="J216" s="11" t="s">
        <v>388</v>
      </c>
      <c r="Q216" s="7">
        <v>45</v>
      </c>
      <c r="R216" s="7">
        <v>35</v>
      </c>
      <c r="S216" s="1" t="str">
        <f t="shared" si="14"/>
        <v>False</v>
      </c>
      <c r="T216" s="6" t="str">
        <f>IFERROR(__xludf.DUMMYFUNCTION("CONCATENATE(if(REGEXMATCH(C216,""R""),"" Red"",""""),if(REGEXMATCH(C216,""O""),"" Orange"",""""),if(REGEXMATCH(C216,""Y""),"" Yellow"",""""),if(REGEXMATCH(C216,""G""),"" Green"",""""),if(REGEXMATCH(C216,""B""),"" Blue"",""""),if(REGEXMATCH(C216,""P""),"" "&amp;"Purple"",""""))")," Yellow Blue")</f>
        <v xml:space="preserve">Yellow Blue</v>
      </c>
      <c r="U216" s="6" t="str">
        <f>IFERROR(__xludf.DUMMYFUNCTION("TRIM(CONCAT(""[right]"", REGEXREPLACE(C216, ""([ROYGBPXZC_]|1?[0-9])"", ""[img=119]res://textures/icons/$0.png[/img]\\n"")))"),"[right][img=119]res://textures/icons/1.png[/img]\n[img=119]res://textures/icons/Y.png[/img]\n[img=119]res://textures/icons/B.png[/img]\n")</f>
        <v>[right][img=119]res://textures/icons/1.png[/img]\n[img=119]res://textures/icons/Y.png[/img]\n[img=119]res://textures/icons/B.png[/img]\n</v>
      </c>
      <c r="V216" s="1" t="str">
        <f>IFERROR(__xludf.DUMMYFUNCTION("SUBSTITUTE(SUBSTITUTE(SUBSTITUTE(SUBSTITUTE(REGEXREPLACE(SUBSTITUTE(SUBSTITUTE(SUBSTITUTE(SUBSTITUTE(REGEXREPLACE(I216, ""(\[([ROYGBPTQUXZC_]|1?[0-9])\])"", ""[img=45]res://textures/icons/$2.png[/img]""),""--"",""—""),""-&gt;"",""•""),""~@"", CONCATENATE(""["&amp;"i]"",REGEXEXTRACT(B216,""^([\s\S]*),|$""),""[/i]"")),""~"", CONCATENATE(""[i]"",B216,""[/i]"")),""(\([\s\S]*?\))"",""[i][color=#34343A]$0[/color][/i]""), ""&lt;"", ""[""), ""&gt;"", ""]""), ""[/p][p]"", ""[font_size=15]\n\n[/font_size]""), ""[br/]"", ""\n"")"),"[i][color=#34343A](This effect can only be deployed if you control a renowned asset. Banked energy can't be spent to deploy renowned cards.)[/color][/i][p]Until end of turn, you have the passive of 'Emergency Response Administrator' not chosen at the begi"&amp;"nning of the game.[font_size=15]\n\n[/font_size][u]Personal[/u] [i][color=#34343A](Shuffle [i]'?, Emergency Response Administrator'[/i] into your deck.)[/color][/i][/p]")</f>
        <v xml:space="preserve">[i][color=#34343A](This effect can only be deployed if you control a renowned asset. Banked energy can't be spent to deploy renowned cards.)[/color][/i][p]Until end of turn, you have the passive of 'Emergency Response Administrator' not chosen at the beginning of the game.[font_size=15]\n\n[/font_size][u]Personal[/u] [i][color=#34343A](Shuffle [i]'?, Emergency Response Administrator'[/i] into your deck.)[/color][/i][/p]</v>
      </c>
      <c r="W216" s="6" t="str">
        <f t="shared" si="15"/>
        <v xml:space="preserve">[i]R. Effect[/i]</v>
      </c>
      <c r="X216" s="1" t="str">
        <f t="shared" si="16"/>
        <v>0</v>
      </c>
      <c r="Y216" s="1"/>
    </row>
    <row r="217">
      <c r="A217" s="7" t="s">
        <v>177</v>
      </c>
      <c r="B217" s="6" t="str">
        <f t="shared" si="13"/>
        <v>Y</v>
      </c>
      <c r="C217" s="8"/>
      <c r="D217" s="9" t="str">
        <f>IFERROR(__xludf.DUMMYFUNCTION("IF(ISBLANK(A217),"""",SWITCH(IF(T217="""",0,COUNTA(SPLIT(T217,"" ""))),0,""Generic"",1,TRIM(T217),2,""Multicolor"",3,""Multicolor"",4,""Multicolor"",5,""Multicolor"",6,""Multicolor"",7,""Multicolor"",8,""Multicolor""))"),"Generic")</f>
        <v>Generic</v>
      </c>
      <c r="E217" s="1"/>
      <c r="F217" s="1"/>
      <c r="H217" s="10"/>
      <c r="I217" s="11" t="s">
        <v>389</v>
      </c>
      <c r="J217" s="11"/>
      <c r="K217" s="6" t="s">
        <v>39</v>
      </c>
      <c r="L217" s="6" t="s">
        <v>39</v>
      </c>
      <c r="Q217" s="7">
        <v>60</v>
      </c>
      <c r="R217" s="7">
        <v>50</v>
      </c>
      <c r="S217" s="1" t="str">
        <f t="shared" si="14"/>
        <v>False</v>
      </c>
      <c r="T217" s="6" t="str">
        <f>IFERROR(__xludf.DUMMYFUNCTION("CONCATENATE(if(REGEXMATCH(C217,""R""),"" Red"",""""),if(REGEXMATCH(C217,""O""),"" Orange"",""""),if(REGEXMATCH(C217,""Y""),"" Yellow"",""""),if(REGEXMATCH(C217,""G""),"" Green"",""""),if(REGEXMATCH(C217,""B""),"" Blue"",""""),if(REGEXMATCH(C217,""P""),"" "&amp;"Purple"",""""))"),"")</f>
        <v/>
      </c>
      <c r="U217" s="6" t="str">
        <f>IFERROR(__xludf.DUMMYFUNCTION("TRIM(CONCAT(""[right]"", REGEXREPLACE(C217, ""([ROYGBPXZC_]|1?[0-9])"", ""[img=119]res://textures/icons/$0.png[/img]\\n"")))"),"[right]")</f>
        <v>[right]</v>
      </c>
      <c r="V217" s="1" t="str">
        <f>IFERROR(__xludf.DUMMYFUNCTION("SUBSTITUTE(SUBSTITUTE(SUBSTITUTE(SUBSTITUTE(REGEXREPLACE(SUBSTITUTE(SUBSTITUTE(SUBSTITUTE(SUBSTITUTE(REGEXREPLACE(I217, ""(\[([ROYGBPTQUXZC_]|1?[0-9])\])"", ""[img=45]res://textures/icons/$2.png[/img]""),""--"",""—""),""-&gt;"",""•""),""~@"", CONCATENATE(""["&amp;"i]"",REGEXEXTRACT(B217,""^([\s\S]*),|$""),""[/i]"")),""~"", CONCATENATE(""[i]"",B217,""[/i]"")),""(\([\s\S]*?\))"",""[i][color=#34343A]$0[/color][/i]""), ""&lt;"", ""[""), ""&gt;"", ""]""), ""[/p][p]"", ""[font_size=15]\n\n[/font_size]""), ""[br/]"", ""\n"")"),"[img=45]res://textures/icons/T.png[/img]: Choose a combatant; until end of turn, combat damage it deals both [u]heals[/u] it and is gained as loyalty.[p][u]Hippocratic Oath[/u] — [img=45]res://textures/icons/T.png[/img]: Until end of turn, combat damage c"&amp;"ombatants you control deal both [u]heals[/u] them and is gained as loyalty [i][color=#34343A](Activate this ability only if a combatant has taken damage this turn)[/color][/i].[/p]")</f>
        <v xml:space="preserve">[img=45]res://textures/icons/T.png[/img]: Choose a combatant; until end of turn, combat damage it deals both [u]heals[/u] it and is gained as loyalty.[p][u]Hippocratic Oath[/u] — [img=45]res://textures/icons/T.png[/img]: Until end of turn, combat damage combatants you control deal both [u]heals[/u] them and is gained as loyalty [i][color=#34343A](Activate this ability only if a combatant has taken damage this turn)[/color][/i].[/p]</v>
      </c>
      <c r="W217" s="6" t="str">
        <f t="shared" si="15"/>
        <v>[i][/i]</v>
      </c>
      <c r="X217" s="1" t="str">
        <f t="shared" si="16"/>
        <v>0</v>
      </c>
      <c r="Y217" s="1"/>
    </row>
    <row r="218">
      <c r="A218" s="7" t="s">
        <v>390</v>
      </c>
      <c r="B218" s="7" t="s">
        <v>391</v>
      </c>
      <c r="C218" s="12" t="s">
        <v>392</v>
      </c>
      <c r="D218" s="9" t="str">
        <f>IFERROR(__xludf.DUMMYFUNCTION("IF(ISBLANK(A218),"""",SWITCH(IF(T218="""",0,COUNTA(SPLIT(T218,"" ""))),0,""Generic"",1,TRIM(T218),2,""Multicolor"",3,""Multicolor"",4,""Multicolor"",5,""Multicolor"",6,""Multicolor"",7,""Multicolor"",8,""Multicolor""))"),"Blue")</f>
        <v>Blue</v>
      </c>
      <c r="E218" s="1" t="s">
        <v>49</v>
      </c>
      <c r="F218" s="1" t="s">
        <v>56</v>
      </c>
      <c r="G218" s="7" t="s">
        <v>393</v>
      </c>
      <c r="H218" s="10" t="s">
        <v>37</v>
      </c>
      <c r="I218" s="11" t="s">
        <v>394</v>
      </c>
      <c r="J218" s="11"/>
      <c r="K218" s="7">
        <v>1</v>
      </c>
      <c r="L218" s="7">
        <v>1</v>
      </c>
      <c r="Q218" s="7">
        <v>60</v>
      </c>
      <c r="R218" s="7">
        <v>50</v>
      </c>
      <c r="S218" s="1" t="str">
        <f t="shared" si="14"/>
        <v>True</v>
      </c>
      <c r="T218" s="6" t="str">
        <f>IFERROR(__xludf.DUMMYFUNCTION("CONCATENATE(if(REGEXMATCH(C218,""R""),"" Red"",""""),if(REGEXMATCH(C218,""O""),"" Orange"",""""),if(REGEXMATCH(C218,""Y""),"" Yellow"",""""),if(REGEXMATCH(C218,""G""),"" Green"",""""),if(REGEXMATCH(C218,""B""),"" Blue"",""""),if(REGEXMATCH(C218,""P""),"" "&amp;"Purple"",""""))")," Blue")</f>
        <v>Blue</v>
      </c>
      <c r="U218" s="6" t="str">
        <f>IFERROR(__xludf.DUMMYFUNCTION("TRIM(CONCAT(""[right]"", REGEXREPLACE(C218, ""([ROYGBPXZC_]|1?[0-9])"", ""[img=119]res://textures/icons/$0.png[/img]\\n"")))"),"[right][img=119]res://textures/icons/B.png[/img]\n")</f>
        <v>[right][img=119]res://textures/icons/B.png[/img]\n</v>
      </c>
      <c r="V218" s="1" t="str">
        <f>IFERROR(__xludf.DUMMYFUNCTION("SUBSTITUTE(SUBSTITUTE(SUBSTITUTE(SUBSTITUTE(REGEXREPLACE(SUBSTITUTE(SUBSTITUTE(SUBSTITUTE(SUBSTITUTE(REGEXREPLACE(I218, ""(\[([ROYGBPTQUXZC_]|1?[0-9])\])"", ""[img=45]res://textures/icons/$2.png[/img]""),""--"",""—""),""-&gt;"",""•""),""~@"", CONCATENATE(""["&amp;"i]"",REGEXEXTRACT(B218,""^([\s\S]*),|$""),""[/i]"")),""~"", CONCATENATE(""[i]"",B218,""[/i]"")),""(\([\s\S]*?\))"",""[i][color=#34343A]$0[/color][/i]""), ""&lt;"", ""[""), ""&gt;"", ""]""), ""[/p][p]"", ""[font_size=15]\n\n[/font_size]""), ""[br/]"", ""\n"")"),"[center][i][color=#34343A](Becomes [i]'Show Administration What it's Like'[/i] if you already control [i]?, Warzone Doctor[/i].)[/color][/i][/center][p]Each commander loses their [b][i]As Commander[/i][/b] ability.[/p]")</f>
        <v xml:space="preserve">[center][i][color=#34343A](Becomes [i]'Show Administration What it's Like'[/i] if you already control [i]?, Warzone Doctor[/i].)[/color][/i][/center][p]Each commander loses their [b][i]As Commander[/i][/b] ability.[/p]</v>
      </c>
      <c r="W218" s="6" t="str">
        <f t="shared" si="15"/>
        <v xml:space="preserve">[i]R. Asset[/i]</v>
      </c>
      <c r="X218" s="1" t="str">
        <f t="shared" si="16"/>
        <v>RS_BY_001</v>
      </c>
      <c r="Y218" s="1"/>
    </row>
    <row r="219">
      <c r="A219" s="7" t="s">
        <v>395</v>
      </c>
      <c r="B219" s="20" t="s">
        <v>396</v>
      </c>
      <c r="C219" s="12" t="s">
        <v>143</v>
      </c>
      <c r="D219" s="9" t="s">
        <v>107</v>
      </c>
      <c r="E219" s="1"/>
      <c r="F219" s="1" t="s">
        <v>63</v>
      </c>
      <c r="G219" s="7" t="s">
        <v>397</v>
      </c>
      <c r="H219" s="10" t="s">
        <v>28</v>
      </c>
      <c r="I219" s="11" t="s">
        <v>398</v>
      </c>
      <c r="J219" s="11"/>
      <c r="Q219" s="7">
        <v>45</v>
      </c>
      <c r="R219" s="7">
        <v>50</v>
      </c>
      <c r="S219" s="1" t="str">
        <f t="shared" si="14"/>
        <v>False</v>
      </c>
      <c r="T219" s="6" t="str">
        <f>IFERROR(__xludf.DUMMYFUNCTION("CONCATENATE(if(REGEXMATCH(C219,""R""),"" Red"",""""),if(REGEXMATCH(C219,""O""),"" Orange"",""""),if(REGEXMATCH(C219,""Y""),"" Yellow"",""""),if(REGEXMATCH(C219,""G""),"" Green"",""""),if(REGEXMATCH(C219,""B""),"" Blue"",""""),if(REGEXMATCH(C219,""P""),"" "&amp;"Purple"",""""))")," Yellow")</f>
        <v>Yellow</v>
      </c>
      <c r="U219" s="6" t="str">
        <f>IFERROR(__xludf.DUMMYFUNCTION("TRIM(CONCAT(""[right]"", REGEXREPLACE(C219, ""([ROYGBPXZC_]|1?[0-9])"", ""[img=119]res://textures/icons/$0.png[/img]\\n"")))"),"[right][img=119]res://textures/icons/1.png[/img]\n[img=119]res://textures/icons/Y.png[/img]\n")</f>
        <v>[right][img=119]res://textures/icons/1.png[/img]\n[img=119]res://textures/icons/Y.png[/img]\n</v>
      </c>
      <c r="V219" s="1" t="str">
        <f>IFERROR(__xludf.DUMMYFUNCTION("SUBSTITUTE(SUBSTITUTE(SUBSTITUTE(SUBSTITUTE(REGEXREPLACE(SUBSTITUTE(SUBSTITUTE(SUBSTITUTE(SUBSTITUTE(REGEXREPLACE(I219, ""(\[([ROYGBPTQUXZC_]|1?[0-9])\])"", ""[img=45]res://textures/icons/$2.png[/img]""),""--"",""—""),""-&gt;"",""•""),""~@"", CONCATENATE(""["&amp;"i]"",REGEXEXTRACT(B219,""^([\s\S]*),|$""),""[/i]"")),""~"", CONCATENATE(""[i]"",B219,""[/i]"")),""(\([\s\S]*?\))"",""[i][color=#34343A]$0[/color][/i]""), ""&lt;"", ""[""), ""&gt;"", ""]""), ""[/p][p]"", ""[font_size=15]\n\n[/font_size]""), ""[br/]"", ""\n"")"),"[p]When you deploy [i]this card[/i] you may pay an additional [img=45]res://textures/icons/1.png[/img][img=45]res://textures/icons/B.png[/img]. If you do, until end of turn, whenever your commander loses loyalty you may choose a combatant, [u]Heal it 1[/u"&amp;"].[font_size=15]\n\n[/font_size]Choose a combatant, until end of turn, your commander becomes a copy of that combatant; except its health is linked to your commanders loyalty.[font_size=15]\n\n[/font_size][u]Personal[/u] [i][color=#34343A](Shuffle [i]'?, "&amp;"Warzone Doctor'[/i] into your deck.)[/color][/i][/p]")</f>
        <v xml:space="preserve">[p]When you deploy [i]this card[/i] you may pay an additional [img=45]res://textures/icons/1.png[/img][img=45]res://textures/icons/B.png[/img]. If you do, until end of turn, whenever your commander loses loyalty you may choose a combatant, [u]Heal it 1[/u].[font_size=15]\n\n[/font_size]Choose a combatant, until end of turn, your commander becomes a copy of that combatant; except its health is linked to your commanders loyalty.[font_size=15]\n\n[/font_size][u]Personal[/u] [i][color=#34343A](Shuffle [i]'?, Warzone Doctor'[/i] into your deck.)[/color][/i][/p]</v>
      </c>
      <c r="W219" s="6" t="str">
        <f t="shared" si="15"/>
        <v xml:space="preserve">[i]R. Effect[/i]</v>
      </c>
      <c r="X219" s="1" t="str">
        <f t="shared" si="16"/>
        <v>RS_BY_001b</v>
      </c>
      <c r="Y219" s="1"/>
    </row>
    <row r="220">
      <c r="A220" s="7" t="s">
        <v>177</v>
      </c>
      <c r="B220" s="6"/>
      <c r="C220" s="12"/>
      <c r="D220" s="9" t="s">
        <v>107</v>
      </c>
      <c r="E220" s="1"/>
      <c r="F220" s="1"/>
      <c r="J220" s="11"/>
      <c r="K220" s="6" t="s">
        <v>39</v>
      </c>
      <c r="L220" s="6" t="s">
        <v>39</v>
      </c>
      <c r="Q220" s="7">
        <v>60</v>
      </c>
      <c r="R220" s="7">
        <v>50</v>
      </c>
      <c r="S220" s="1" t="str">
        <f t="shared" si="14"/>
        <v>False</v>
      </c>
      <c r="T220" s="6" t="str">
        <f>IFERROR(__xludf.DUMMYFUNCTION("CONCATENATE(if(REGEXMATCH(C220,""R""),"" Red"",""""),if(REGEXMATCH(C220,""O""),"" Orange"",""""),if(REGEXMATCH(C220,""Y""),"" Yellow"",""""),if(REGEXMATCH(C220,""G""),"" Green"",""""),if(REGEXMATCH(C220,""B""),"" Blue"",""""),if(REGEXMATCH(C220,""P""),"" "&amp;"Purple"",""""))"),"")</f>
        <v/>
      </c>
      <c r="U220" s="6" t="str">
        <f>IFERROR(__xludf.DUMMYFUNCTION("TRIM(CONCAT(""[right]"", REGEXREPLACE(C220, ""([ROYGBPXZC_]|1?[0-9])"", ""[img=119]res://textures/icons/$0.png[/img]\\n"")))"),"[right]")</f>
        <v>[right]</v>
      </c>
      <c r="V220" s="1" t="str">
        <f>IFERROR(__xludf.DUMMYFUNCTION("SUBSTITUTE(SUBSTITUTE(SUBSTITUTE(SUBSTITUTE(REGEXREPLACE(SUBSTITUTE(SUBSTITUTE(SUBSTITUTE(SUBSTITUTE(REGEXREPLACE(I220, ""(\[([ROYGBPTQUXZC_]|1?[0-9])\])"", ""[img=45]res://textures/icons/$2.png[/img]""),""--"",""—""),""-&gt;"",""•""),""~@"", CONCATENATE(""["&amp;"i]"",REGEXEXTRACT(B220,""^([\s\S]*),|$""),""[/i]"")),""~"", CONCATENATE(""[i]"",B220,""[/i]"")),""(\([\s\S]*?\))"",""[i][color=#34343A]$0[/color][/i]""), ""&lt;"", ""[""), ""&gt;"", ""]""), ""[/p][p]"", ""[font_size=15]\n\n[/font_size]""), ""[br/]"", ""\n"")"),"")</f>
        <v/>
      </c>
      <c r="W220" s="6" t="str">
        <f t="shared" si="15"/>
        <v>[i][/i]</v>
      </c>
      <c r="X220" s="1" t="str">
        <f t="shared" si="16"/>
        <v>RS_Y</v>
      </c>
      <c r="Y220" s="1"/>
    </row>
    <row r="221">
      <c r="A221" s="7" t="s">
        <v>177</v>
      </c>
      <c r="B221" s="6" t="str">
        <f t="shared" si="13"/>
        <v>Y</v>
      </c>
      <c r="C221" s="8"/>
      <c r="D221" s="9" t="str">
        <f>IFERROR(__xludf.DUMMYFUNCTION("IF(ISBLANK(A221),"""",SWITCH(IF(T221="""",0,COUNTA(SPLIT(T221,"" ""))),0,""Generic"",1,TRIM(T221),2,""Multicolor"",3,""Multicolor"",4,""Multicolor"",5,""Multicolor"",6,""Multicolor"",7,""Multicolor"",8,""Multicolor""))"),"Generic")</f>
        <v>Generic</v>
      </c>
      <c r="E221" s="1"/>
      <c r="F221" s="1"/>
      <c r="H221" s="10"/>
      <c r="I221" s="11" t="s">
        <v>52</v>
      </c>
      <c r="J221" s="11"/>
      <c r="K221" s="6" t="s">
        <v>39</v>
      </c>
      <c r="L221" s="6" t="s">
        <v>39</v>
      </c>
      <c r="Q221" s="7">
        <v>60</v>
      </c>
      <c r="R221" s="7">
        <v>50</v>
      </c>
      <c r="S221" s="1" t="str">
        <f t="shared" si="14"/>
        <v>False</v>
      </c>
      <c r="T221" s="6" t="str">
        <f>IFERROR(__xludf.DUMMYFUNCTION("CONCATENATE(if(REGEXMATCH(C221,""R""),"" Red"",""""),if(REGEXMATCH(C221,""O""),"" Orange"",""""),if(REGEXMATCH(C221,""Y""),"" Yellow"",""""),if(REGEXMATCH(C221,""G""),"" Green"",""""),if(REGEXMATCH(C221,""B""),"" Blue"",""""),if(REGEXMATCH(C221,""P""),"" "&amp;"Purple"",""""))"),"")</f>
        <v/>
      </c>
      <c r="U221" s="6" t="str">
        <f>IFERROR(__xludf.DUMMYFUNCTION("TRIM(CONCAT(""[right]"", REGEXREPLACE(C221, ""([ROYGBPXZC_]|1?[0-9])"", ""[img=119]res://textures/icons/$0.png[/img]\\n"")))"),"[right]")</f>
        <v>[right]</v>
      </c>
      <c r="V221" s="1" t="str">
        <f>IFERROR(__xludf.DUMMYFUNCTION("SUBSTITUTE(SUBSTITUTE(SUBSTITUTE(SUBSTITUTE(REGEXREPLACE(SUBSTITUTE(SUBSTITUTE(SUBSTITUTE(SUBSTITUTE(REGEXREPLACE(I221, ""(\[([ROYGBPTQUXZC_]|1?[0-9])\])"", ""[img=45]res://textures/icons/$2.png[/img]""),""--"",""—""),""-&gt;"",""•""),""~@"", CONCATENATE(""["&amp;"i]"",REGEXEXTRACT(B221,""^([\s\S]*),|$""),""[/i]"")),""~"", CONCATENATE(""[i]"",B221,""[/i]"")),""(\([\s\S]*?\))"",""[i][color=#34343A]$0[/color][/i]""), ""&lt;"", ""[""), ""&gt;"", ""]""), ""[/p][p]"", ""[font_size=15]\n\n[/font_size]""), ""[br/]"", ""\n"")"),"prepare, exchange, append, go second")</f>
        <v xml:space="preserve">prepare, exchange, append, go second</v>
      </c>
      <c r="W221" s="6" t="str">
        <f t="shared" si="15"/>
        <v>[i][/i]</v>
      </c>
      <c r="X221" s="1" t="str">
        <f t="shared" si="16"/>
        <v>0</v>
      </c>
      <c r="Y221" s="1"/>
    </row>
    <row r="222">
      <c r="A222" s="7" t="s">
        <v>399</v>
      </c>
      <c r="B222" s="7" t="s">
        <v>400</v>
      </c>
      <c r="C222" s="12" t="s">
        <v>380</v>
      </c>
      <c r="D222" s="9" t="str">
        <f>IFERROR(__xludf.DUMMYFUNCTION("IF(ISBLANK(A222),"""",SWITCH(IF(T222="""",0,COUNTA(SPLIT(T222,"" ""))),0,""Generic"",1,TRIM(T222),2,""Multicolor"",3,""Multicolor"",4,""Multicolor"",5,""Multicolor"",6,""Multicolor"",7,""Multicolor"",8,""Multicolor""))"),"Multicolor")</f>
        <v>Multicolor</v>
      </c>
      <c r="E222" s="1" t="s">
        <v>49</v>
      </c>
      <c r="F222" s="1" t="s">
        <v>26</v>
      </c>
      <c r="G222" s="7" t="s">
        <v>401</v>
      </c>
      <c r="H222" s="10" t="s">
        <v>58</v>
      </c>
      <c r="I222" s="11" t="s">
        <v>402</v>
      </c>
      <c r="J222" s="11"/>
      <c r="K222" s="7">
        <v>1</v>
      </c>
      <c r="L222" s="7">
        <v>1</v>
      </c>
      <c r="Q222" s="7">
        <v>60</v>
      </c>
      <c r="R222" s="7">
        <v>35</v>
      </c>
      <c r="S222" s="1" t="str">
        <f t="shared" si="14"/>
        <v>True</v>
      </c>
      <c r="T222" s="6" t="str">
        <f>IFERROR(__xludf.DUMMYFUNCTION("CONCATENATE(if(REGEXMATCH(C222,""R""),"" Red"",""""),if(REGEXMATCH(C222,""O""),"" Orange"",""""),if(REGEXMATCH(C222,""Y""),"" Yellow"",""""),if(REGEXMATCH(C222,""G""),"" Green"",""""),if(REGEXMATCH(C222,""B""),"" Blue"",""""),if(REGEXMATCH(C222,""P""),"" "&amp;"Purple"",""""))")," Yellow Blue")</f>
        <v xml:space="preserve">Yellow Blue</v>
      </c>
      <c r="U222" s="6" t="str">
        <f>IFERROR(__xludf.DUMMYFUNCTION("TRIM(CONCAT(""[right]"", REGEXREPLACE(C222, ""([ROYGBPXZC_]|1?[0-9])"", ""[img=119]res://textures/icons/$0.png[/img]\\n"")))"),"[right][img=119]res://textures/icons/1.png[/img]\n[img=119]res://textures/icons/Y.png[/img]\n[img=119]res://textures/icons/B.png[/img]\n")</f>
        <v>[right][img=119]res://textures/icons/1.png[/img]\n[img=119]res://textures/icons/Y.png[/img]\n[img=119]res://textures/icons/B.png[/img]\n</v>
      </c>
      <c r="V222" s="1" t="str">
        <f>IFERROR(__xludf.DUMMYFUNCTION("SUBSTITUTE(SUBSTITUTE(SUBSTITUTE(SUBSTITUTE(REGEXREPLACE(SUBSTITUTE(SUBSTITUTE(SUBSTITUTE(SUBSTITUTE(REGEXREPLACE(I222, ""(\[([ROYGBPTQUXZC_]|1?[0-9])\])"", ""[img=45]res://textures/icons/$2.png[/img]""),""--"",""—""),""-&gt;"",""•""),""~@"", CONCATENATE(""["&amp;"i]"",REGEXEXTRACT(B222,""^([\s\S]*),|$""),""[/i]"")),""~"", CONCATENATE(""[i]"",B222,""[/i]"")),""(\([\s\S]*?\))"",""[i][color=#34343A]$0[/color][/i]""), ""&lt;"", ""[""), ""&gt;"", ""]""), ""[/p][p]"", ""[font_size=15]\n\n[/font_size]""), ""[br/]"", ""\n"")"),"[center]Whenever [i]Junkie Patient[/i] is healed, it permanently gets +1/+1.[/center]")</f>
        <v xml:space="preserve">[center]Whenever [i]Junkie Patient[/i] is healed, it permanently gets +1/+1.[/center]</v>
      </c>
      <c r="W222" s="6" t="str">
        <f t="shared" si="15"/>
        <v>[i]Asset[/i]</v>
      </c>
      <c r="X222" s="1" t="str">
        <f t="shared" si="16"/>
        <v>RS_MU_YB_001</v>
      </c>
      <c r="Y222" s="1"/>
    </row>
    <row r="223">
      <c r="A223" s="7" t="s">
        <v>403</v>
      </c>
      <c r="B223" s="7" t="s">
        <v>404</v>
      </c>
      <c r="C223" s="12" t="s">
        <v>93</v>
      </c>
      <c r="D223" s="9" t="str">
        <f>IFERROR(__xludf.DUMMYFUNCTION("IF(ISBLANK(A223),"""",SWITCH(IF(T223="""",0,COUNTA(SPLIT(T223,"" ""))),0,""Generic"",1,TRIM(T223),2,""Multicolor"",3,""Multicolor"",4,""Multicolor"",5,""Multicolor"",6,""Multicolor"",7,""Multicolor"",8,""Multicolor""))"),"Yellow")</f>
        <v>Yellow</v>
      </c>
      <c r="E223" s="1" t="s">
        <v>43</v>
      </c>
      <c r="F223" s="1" t="s">
        <v>26</v>
      </c>
      <c r="G223" s="7" t="s">
        <v>405</v>
      </c>
      <c r="H223" s="10" t="s">
        <v>58</v>
      </c>
      <c r="I223" s="11" t="s">
        <v>406</v>
      </c>
      <c r="J223" s="11"/>
      <c r="K223" s="7">
        <v>3</v>
      </c>
      <c r="L223" s="7">
        <v>3</v>
      </c>
      <c r="Q223" s="7">
        <v>60</v>
      </c>
      <c r="R223" s="7">
        <v>35</v>
      </c>
      <c r="S223" s="1" t="str">
        <f t="shared" si="14"/>
        <v>True</v>
      </c>
      <c r="T223" s="6" t="str">
        <f>IFERROR(__xludf.DUMMYFUNCTION("CONCATENATE(if(REGEXMATCH(C223,""R""),"" Red"",""""),if(REGEXMATCH(C223,""O""),"" Orange"",""""),if(REGEXMATCH(C223,""Y""),"" Yellow"",""""),if(REGEXMATCH(C223,""G""),"" Green"",""""),if(REGEXMATCH(C223,""B""),"" Blue"",""""),if(REGEXMATCH(C223,""P""),"" "&amp;"Purple"",""""))")," Yellow")</f>
        <v>Yellow</v>
      </c>
      <c r="U223" s="6" t="str">
        <f>IFERROR(__xludf.DUMMYFUNCTION("TRIM(CONCAT(""[right]"", REGEXREPLACE(C223, ""([ROYGBPXZC_]|1?[0-9])"", ""[img=119]res://textures/icons/$0.png[/img]\\n"")))"),"[right][img=119]res://textures/icons/1.png[/img]\n[img=119]res://textures/icons/Y.png[/img]\n[img=119]res://textures/icons/Y.png[/img]\n")</f>
        <v>[right][img=119]res://textures/icons/1.png[/img]\n[img=119]res://textures/icons/Y.png[/img]\n[img=119]res://textures/icons/Y.png[/img]\n</v>
      </c>
      <c r="V223" s="1" t="str">
        <f>IFERROR(__xludf.DUMMYFUNCTION("SUBSTITUTE(SUBSTITUTE(SUBSTITUTE(SUBSTITUTE(REGEXREPLACE(SUBSTITUTE(SUBSTITUTE(SUBSTITUTE(SUBSTITUTE(REGEXREPLACE(I223, ""(\[([ROYGBPTQUXZC_]|1?[0-9])\])"", ""[img=45]res://textures/icons/$2.png[/img]""),""--"",""—""),""-&gt;"",""•""),""~@"", CONCATENATE(""["&amp;"i]"",REGEXEXTRACT(B223,""^([\s\S]*),|$""),""[/i]"")),""~"", CONCATENATE(""[i]"",B223,""[/i]"")),""(\([\s\S]*?\))"",""[i][color=#34343A]$0[/color][/i]""), ""&lt;"", ""[""), ""&gt;"", ""]""), ""[/p][p]"", ""[font_size=15]\n\n[/font_size]""), ""[br/]"", ""\n"")"),"[center][u]Retribution[/u] [i][color=#34343A](When you draw [i]Battle Medic[/i] as a result of taking damage, you may deploy it without paying its cost.)[/color][/i][/center][p]When [i]Battle Medic[/i] enters the battlefield, choose a player or combatant;"&amp;" [i]Battle Medic[/i] deals 5 damage to it, then your commander gains 5 loyalty.[/p]")</f>
        <v xml:space="preserve">[center][u]Retribution[/u] [i][color=#34343A](When you draw [i]Battle Medic[/i] as a result of taking damage, you may deploy it without paying its cost.)[/color][/i][/center][p]When [i]Battle Medic[/i] enters the battlefield, choose a player or combatant; [i]Battle Medic[/i] deals 5 damage to it, then your commander gains 5 loyalty.[/p]</v>
      </c>
      <c r="W223" s="6" t="str">
        <f t="shared" si="15"/>
        <v>[i]Asset[/i]</v>
      </c>
      <c r="X223" s="1" t="str">
        <f t="shared" si="16"/>
        <v>RS_MU_YB_002</v>
      </c>
      <c r="Y223" s="1"/>
    </row>
    <row r="224">
      <c r="A224" s="7" t="s">
        <v>407</v>
      </c>
      <c r="B224" s="7" t="s">
        <v>408</v>
      </c>
      <c r="C224" s="12" t="s">
        <v>263</v>
      </c>
      <c r="D224" s="9" t="s">
        <v>107</v>
      </c>
      <c r="E224" s="1" t="s">
        <v>49</v>
      </c>
      <c r="F224" s="1" t="s">
        <v>26</v>
      </c>
      <c r="G224" s="7" t="s">
        <v>409</v>
      </c>
      <c r="H224" s="10" t="s">
        <v>58</v>
      </c>
      <c r="I224" s="11" t="s">
        <v>410</v>
      </c>
      <c r="J224" s="11"/>
      <c r="K224" s="7">
        <v>2</v>
      </c>
      <c r="L224" s="7">
        <v>2</v>
      </c>
      <c r="Q224" s="7">
        <v>60</v>
      </c>
      <c r="R224" s="7">
        <v>35</v>
      </c>
      <c r="S224" s="1" t="str">
        <f t="shared" si="14"/>
        <v>True</v>
      </c>
      <c r="T224" s="7" t="s">
        <v>411</v>
      </c>
      <c r="U224" s="6" t="str">
        <f>IFERROR(__xludf.DUMMYFUNCTION("TRIM(CONCAT(""[right]"", REGEXREPLACE(C224, ""([ROYGBPXZC_]|1?[0-9])"", ""[img=119]res://textures/icons/$0.png[/img]\\n"")))"),"[right][img=119]res://textures/icons/_.png[/img]\n")</f>
        <v>[right][img=119]res://textures/icons/_.png[/img]\n</v>
      </c>
      <c r="V224" s="1" t="str">
        <f>IFERROR(__xludf.DUMMYFUNCTION("SUBSTITUTE(SUBSTITUTE(SUBSTITUTE(SUBSTITUTE(REGEXREPLACE(SUBSTITUTE(SUBSTITUTE(SUBSTITUTE(SUBSTITUTE(REGEXREPLACE(I224, ""(\[([ROYGBPTQUXZC_]|1?[0-9])\])"", ""[img=45]res://textures/icons/$2.png[/img]""),""--"",""—""),""-&gt;"",""•""),""~@"", CONCATENATE(""["&amp;"i]"",REGEXEXTRACT(B224,""^([\s\S]*),|$""),""[/i]"")),""~"", CONCATENATE(""[i]"",B224,""[/i]"")),""(\([\s\S]*?\))"",""[i][color=#34343A]$0[/color][/i]""), ""&lt;"", ""[""), ""&gt;"", ""]""), ""[/p][p]"", ""[font_size=15]\n\n[/font_size]""), ""[br/]"", ""\n"")"),"[center][i][color=#34343A]([img=45]res://textures/icons/_.png[/img] can be paid with [img=45]res://textures/icons/Y.png[/img] or [img=45]res://textures/icons/B.png[/img].)[/color][/i][/center][p]Whenever your commander gains loyalty, choose a combatant an"&amp;" opponent controls; [i]Refugee Nurse[/i] and that combatant both permanently gain +1/+1.[/p]")</f>
        <v xml:space="preserve">[center][i][color=#34343A]([img=45]res://textures/icons/_.png[/img] can be paid with [img=45]res://textures/icons/Y.png[/img] or [img=45]res://textures/icons/B.png[/img].)[/color][/i][/center][p]Whenever your commander gains loyalty, choose a combatant an opponent controls; [i]Refugee Nurse[/i] and that combatant both permanently gain +1/+1.[/p]</v>
      </c>
      <c r="W224" s="6" t="str">
        <f t="shared" si="15"/>
        <v>[i]Asset[/i]</v>
      </c>
      <c r="X224" s="1" t="str">
        <f t="shared" si="16"/>
        <v>RS_MU_YB_003</v>
      </c>
      <c r="Y224" s="1"/>
    </row>
    <row r="225">
      <c r="A225" s="7" t="s">
        <v>412</v>
      </c>
      <c r="B225" s="7" t="s">
        <v>413</v>
      </c>
      <c r="C225" s="12" t="s">
        <v>414</v>
      </c>
      <c r="D225" s="9" t="str">
        <f>IFERROR(__xludf.DUMMYFUNCTION("IF(ISBLANK(A225),"""",SWITCH(IF(T225="""",0,COUNTA(SPLIT(T225,"" ""))),0,""Generic"",1,TRIM(T225),2,""Multicolor"",3,""Multicolor"",4,""Multicolor"",5,""Multicolor"",6,""Multicolor"",7,""Multicolor"",8,""Multicolor""))"),"Blue")</f>
        <v>Blue</v>
      </c>
      <c r="E225" s="1" t="s">
        <v>49</v>
      </c>
      <c r="F225" s="1" t="s">
        <v>26</v>
      </c>
      <c r="G225" s="7" t="s">
        <v>381</v>
      </c>
      <c r="H225" s="10" t="s">
        <v>58</v>
      </c>
      <c r="I225" s="11" t="s">
        <v>415</v>
      </c>
      <c r="J225" s="11"/>
      <c r="K225" s="7">
        <v>2</v>
      </c>
      <c r="L225" s="7">
        <v>2</v>
      </c>
      <c r="Q225" s="7">
        <v>60</v>
      </c>
      <c r="R225" s="7">
        <v>35</v>
      </c>
      <c r="S225" s="1" t="str">
        <f t="shared" si="14"/>
        <v>True</v>
      </c>
      <c r="T225" s="6" t="str">
        <f>IFERROR(__xludf.DUMMYFUNCTION("CONCATENATE(if(REGEXMATCH(C225,""R""),"" Red"",""""),if(REGEXMATCH(C225,""O""),"" Orange"",""""),if(REGEXMATCH(C225,""Y""),"" Yellow"",""""),if(REGEXMATCH(C225,""G""),"" Green"",""""),if(REGEXMATCH(C225,""B""),"" Blue"",""""),if(REGEXMATCH(C225,""P""),"" "&amp;"Purple"",""""))")," Blue")</f>
        <v>Blue</v>
      </c>
      <c r="U225" s="6" t="str">
        <f>IFERROR(__xludf.DUMMYFUNCTION("TRIM(CONCAT(""[right]"", REGEXREPLACE(C225, ""([ROYGBPXZC_]|1?[0-9])"", ""[img=119]res://textures/icons/$0.png[/img]\\n"")))"),"[right][img=119]res://textures/icons/2.png[/img]\n[img=119]res://textures/icons/B.png[/img]\n")</f>
        <v>[right][img=119]res://textures/icons/2.png[/img]\n[img=119]res://textures/icons/B.png[/img]\n</v>
      </c>
      <c r="V225" s="1" t="str">
        <f>IFERROR(__xludf.DUMMYFUNCTION("SUBSTITUTE(SUBSTITUTE(SUBSTITUTE(SUBSTITUTE(REGEXREPLACE(SUBSTITUTE(SUBSTITUTE(SUBSTITUTE(SUBSTITUTE(REGEXREPLACE(I225, ""(\[([ROYGBPTQUXZC_]|1?[0-9])\])"", ""[img=45]res://textures/icons/$2.png[/img]""),""--"",""—""),""-&gt;"",""•""),""~@"", CONCATENATE(""["&amp;"i]"",REGEXEXTRACT(B225,""^([\s\S]*),|$""),""[/i]"")),""~"", CONCATENATE(""[i]"",B225,""[/i]"")),""(\([\s\S]*?\))"",""[i][color=#34343A]$0[/color][/i]""), ""&lt;"", ""[""), ""&gt;"", ""]""), ""[/p][p]"", ""[font_size=15]\n\n[/font_size]""), ""[br/]"", ""\n"")"),"[center]When you deploy [i]Camp Organizer[/i], create a [i]'Camp Guard'[/i] in your hand; repeat this process until your hand is full.[/center]")</f>
        <v xml:space="preserve">[center]When you deploy [i]Camp Organizer[/i], create a [i]'Camp Guard'[/i] in your hand; repeat this process until your hand is full.[/center]</v>
      </c>
      <c r="W225" s="6" t="str">
        <f t="shared" si="15"/>
        <v>[i]Asset[/i]</v>
      </c>
      <c r="X225" s="1" t="str">
        <f t="shared" si="16"/>
        <v>RS_BU_003</v>
      </c>
      <c r="Y225" s="1"/>
    </row>
    <row r="226">
      <c r="A226" s="7" t="s">
        <v>416</v>
      </c>
      <c r="B226" s="7" t="s">
        <v>417</v>
      </c>
      <c r="C226" s="12" t="s">
        <v>392</v>
      </c>
      <c r="D226" s="9" t="str">
        <f>IFERROR(__xludf.DUMMYFUNCTION("IF(ISBLANK(A226),"""",SWITCH(IF(T226="""",0,COUNTA(SPLIT(T226,"" ""))),0,""Generic"",1,TRIM(T226),2,""Multicolor"",3,""Multicolor"",4,""Multicolor"",5,""Multicolor"",6,""Multicolor"",7,""Multicolor"",8,""Multicolor""))"),"Blue")</f>
        <v>Blue</v>
      </c>
      <c r="E226" s="1" t="s">
        <v>43</v>
      </c>
      <c r="F226" s="1" t="s">
        <v>26</v>
      </c>
      <c r="G226" s="7" t="s">
        <v>418</v>
      </c>
      <c r="H226" s="10" t="s">
        <v>28</v>
      </c>
      <c r="I226" s="11" t="s">
        <v>419</v>
      </c>
      <c r="J226" s="11"/>
      <c r="K226" s="7">
        <v>2</v>
      </c>
      <c r="L226" s="7">
        <v>2</v>
      </c>
      <c r="Q226" s="7">
        <v>60</v>
      </c>
      <c r="R226" s="7">
        <v>35</v>
      </c>
      <c r="S226" s="1" t="str">
        <f t="shared" si="14"/>
        <v>True</v>
      </c>
      <c r="T226" s="6" t="str">
        <f>IFERROR(__xludf.DUMMYFUNCTION("CONCATENATE(if(REGEXMATCH(C226,""R""),"" Red"",""""),if(REGEXMATCH(C226,""O""),"" Orange"",""""),if(REGEXMATCH(C226,""Y""),"" Yellow"",""""),if(REGEXMATCH(C226,""G""),"" Green"",""""),if(REGEXMATCH(C226,""B""),"" Blue"",""""),if(REGEXMATCH(C226,""P""),"" "&amp;"Purple"",""""))")," Blue")</f>
        <v>Blue</v>
      </c>
      <c r="U226" s="6" t="str">
        <f>IFERROR(__xludf.DUMMYFUNCTION("TRIM(CONCAT(""[right]"", REGEXREPLACE(C226, ""([ROYGBPXZC_]|1?[0-9])"", ""[img=119]res://textures/icons/$0.png[/img]\\n"")))"),"[right][img=119]res://textures/icons/B.png[/img]\n")</f>
        <v>[right][img=119]res://textures/icons/B.png[/img]\n</v>
      </c>
      <c r="V226" s="1" t="str">
        <f>IFERROR(__xludf.DUMMYFUNCTION("SUBSTITUTE(SUBSTITUTE(SUBSTITUTE(SUBSTITUTE(REGEXREPLACE(SUBSTITUTE(SUBSTITUTE(SUBSTITUTE(SUBSTITUTE(REGEXREPLACE(I226, ""(\[([ROYGBPTQUXZC_]|1?[0-9])\])"", ""[img=45]res://textures/icons/$2.png[/img]""),""--"",""—""),""-&gt;"",""•""),""~@"", CONCATENATE(""["&amp;"i]"",REGEXEXTRACT(B226,""^([\s\S]*),|$""),""[/i]"")),""~"", CONCATENATE(""[i]"",B226,""[/i]"")),""(\([\s\S]*?\))"",""[i][color=#34343A]$0[/color][/i]""), ""&lt;"", ""[""), ""&gt;"", ""]""), ""[/p][p]"", ""[font_size=15]\n\n[/font_size]""), ""[br/]"", ""\n"")"),"[center][u]Transient[/u] [i][color=#34343A](If [i]Camp Guard[/i] would enter your discard, instead remove it from the game.)[/color][/i][/center]")</f>
        <v xml:space="preserve">[center][u]Transient[/u] [i][color=#34343A](If [i]Camp Guard[/i] would enter your discard, instead remove it from the game.)[/color][/i][/center]</v>
      </c>
      <c r="W226" s="6" t="str">
        <f t="shared" si="15"/>
        <v>[i]Asset[/i]</v>
      </c>
      <c r="X226" s="1" t="str">
        <f t="shared" si="16"/>
        <v>RS_BU_003b</v>
      </c>
      <c r="Y226" s="1"/>
    </row>
    <row r="227">
      <c r="A227" s="7" t="s">
        <v>75</v>
      </c>
      <c r="B227" s="6" t="str">
        <f t="shared" si="13"/>
        <v>U</v>
      </c>
      <c r="C227" s="8"/>
      <c r="D227" s="9" t="str">
        <f>IFERROR(__xludf.DUMMYFUNCTION("IF(ISBLANK(A227),"""",SWITCH(IF(T227="""",0,COUNTA(SPLIT(T227,"" ""))),0,""Generic"",1,TRIM(T227),2,""Multicolor"",3,""Multicolor"",4,""Multicolor"",5,""Multicolor"",6,""Multicolor"",7,""Multicolor"",8,""Multicolor""))"),"Generic")</f>
        <v>Generic</v>
      </c>
      <c r="E227" s="1"/>
      <c r="F227" s="1"/>
      <c r="H227" s="10"/>
      <c r="I227" s="11"/>
      <c r="J227" s="11"/>
      <c r="L227" s="6" t="s">
        <v>39</v>
      </c>
      <c r="Q227" s="7">
        <v>60</v>
      </c>
      <c r="R227" s="7">
        <v>50</v>
      </c>
      <c r="S227" s="1" t="str">
        <f t="shared" si="14"/>
        <v>False</v>
      </c>
      <c r="T227" s="6" t="str">
        <f>IFERROR(__xludf.DUMMYFUNCTION("CONCATENATE(if(REGEXMATCH(C227,""R""),"" Red"",""""),if(REGEXMATCH(C227,""O""),"" Orange"",""""),if(REGEXMATCH(C227,""Y""),"" Yellow"",""""),if(REGEXMATCH(C227,""G""),"" Green"",""""),if(REGEXMATCH(C227,""B""),"" Blue"",""""),if(REGEXMATCH(C227,""P""),"" "&amp;"Purple"",""""))"),"")</f>
        <v/>
      </c>
      <c r="U227" s="6" t="str">
        <f>IFERROR(__xludf.DUMMYFUNCTION("TRIM(CONCAT(""[right]"", REGEXREPLACE(C227, ""([ROYGBPXZC_]|1?[0-9])"", ""[img=119]res://textures/icons/$0.png[/img]\\n"")))"),"[right]")</f>
        <v>[right]</v>
      </c>
      <c r="V227" s="1" t="str">
        <f>IFERROR(__xludf.DUMMYFUNCTION("SUBSTITUTE(SUBSTITUTE(SUBSTITUTE(SUBSTITUTE(REGEXREPLACE(SUBSTITUTE(SUBSTITUTE(SUBSTITUTE(SUBSTITUTE(REGEXREPLACE(I227, ""(\[([ROYGBPTQUXZC_]|1?[0-9])\])"", ""[img=45]res://textures/icons/$2.png[/img]""),""--"",""—""),""-&gt;"",""•""),""~@"", CONCATENATE(""["&amp;"i]"",REGEXEXTRACT(B227,""^([\s\S]*),|$""),""[/i]"")),""~"", CONCATENATE(""[i]"",B227,""[/i]"")),""(\([\s\S]*?\))"",""[i][color=#34343A]$0[/color][/i]""), ""&lt;"", ""[""), ""&gt;"", ""]""), ""[/p][p]"", ""[font_size=15]\n\n[/font_size]""), ""[br/]"", ""\n"")"),"")</f>
        <v/>
      </c>
      <c r="W227" s="6" t="str">
        <f t="shared" si="15"/>
        <v>[i][/i]</v>
      </c>
      <c r="X227" s="1" t="str">
        <f t="shared" si="16"/>
        <v>0</v>
      </c>
      <c r="Y227" s="1"/>
    </row>
    <row r="228">
      <c r="A228" s="7" t="s">
        <v>75</v>
      </c>
      <c r="B228" s="6" t="str">
        <f t="shared" si="13"/>
        <v>U</v>
      </c>
      <c r="C228" s="8"/>
      <c r="D228" s="9" t="str">
        <f>IFERROR(__xludf.DUMMYFUNCTION("IF(ISBLANK(A228),"""",SWITCH(IF(T228="""",0,COUNTA(SPLIT(T228,"" ""))),0,""Generic"",1,TRIM(T228),2,""Multicolor"",3,""Multicolor"",4,""Multicolor"",5,""Multicolor"",6,""Multicolor"",7,""Multicolor"",8,""Multicolor""))"),"Generic")</f>
        <v>Generic</v>
      </c>
      <c r="E228" s="1"/>
      <c r="F228" s="1"/>
      <c r="H228" s="10"/>
      <c r="I228" s="11"/>
      <c r="J228" s="11"/>
      <c r="K228" s="6" t="s">
        <v>39</v>
      </c>
      <c r="L228" s="6" t="s">
        <v>39</v>
      </c>
      <c r="Q228" s="7">
        <v>60</v>
      </c>
      <c r="R228" s="7">
        <v>50</v>
      </c>
      <c r="S228" s="1" t="str">
        <f t="shared" si="14"/>
        <v>False</v>
      </c>
      <c r="T228" s="6" t="str">
        <f>IFERROR(__xludf.DUMMYFUNCTION("CONCATENATE(if(REGEXMATCH(C228,""R""),"" Red"",""""),if(REGEXMATCH(C228,""O""),"" Orange"",""""),if(REGEXMATCH(C228,""Y""),"" Yellow"",""""),if(REGEXMATCH(C228,""G""),"" Green"",""""),if(REGEXMATCH(C228,""B""),"" Blue"",""""),if(REGEXMATCH(C228,""P""),"" "&amp;"Purple"",""""))"),"")</f>
        <v/>
      </c>
      <c r="U228" s="6" t="str">
        <f>IFERROR(__xludf.DUMMYFUNCTION("TRIM(CONCAT(""[right]"", REGEXREPLACE(C228, ""([ROYGBPXZC_]|1?[0-9])"", ""[img=119]res://textures/icons/$0.png[/img]\\n"")))"),"[right]")</f>
        <v>[right]</v>
      </c>
      <c r="V228" s="1" t="str">
        <f>IFERROR(__xludf.DUMMYFUNCTION("SUBSTITUTE(SUBSTITUTE(SUBSTITUTE(SUBSTITUTE(REGEXREPLACE(SUBSTITUTE(SUBSTITUTE(SUBSTITUTE(SUBSTITUTE(REGEXREPLACE(I228, ""(\[([ROYGBPTQUXZC_]|1?[0-9])\])"", ""[img=45]res://textures/icons/$2.png[/img]""),""--"",""—""),""-&gt;"",""•""),""~@"", CONCATENATE(""["&amp;"i]"",REGEXEXTRACT(B228,""^([\s\S]*),|$""),""[/i]"")),""~"", CONCATENATE(""[i]"",B228,""[/i]"")),""(\([\s\S]*?\))"",""[i][color=#34343A]$0[/color][/i]""), ""&lt;"", ""[""), ""&gt;"", ""]""), ""[/p][p]"", ""[font_size=15]\n\n[/font_size]""), ""[br/]"", ""\n"")"),"")</f>
        <v/>
      </c>
      <c r="W228" s="6" t="str">
        <f t="shared" si="15"/>
        <v>[i][/i]</v>
      </c>
      <c r="X228" s="1" t="str">
        <f t="shared" si="16"/>
        <v>0</v>
      </c>
      <c r="Y228" s="1"/>
    </row>
    <row r="229">
      <c r="A229" s="7" t="s">
        <v>420</v>
      </c>
      <c r="B229" s="7" t="s">
        <v>421</v>
      </c>
      <c r="C229" s="12" t="s">
        <v>263</v>
      </c>
      <c r="D229" s="9" t="s">
        <v>107</v>
      </c>
      <c r="E229" s="1"/>
      <c r="F229" s="1" t="s">
        <v>35</v>
      </c>
      <c r="H229" s="10" t="s">
        <v>149</v>
      </c>
      <c r="I229" s="13" t="s">
        <v>422</v>
      </c>
      <c r="J229" s="11"/>
      <c r="K229" s="6" t="s">
        <v>39</v>
      </c>
      <c r="L229" s="6" t="s">
        <v>39</v>
      </c>
      <c r="Q229" s="7">
        <v>60</v>
      </c>
      <c r="R229" s="7">
        <v>50</v>
      </c>
      <c r="S229" s="1" t="str">
        <f t="shared" si="14"/>
        <v>False</v>
      </c>
      <c r="T229" s="7" t="s">
        <v>423</v>
      </c>
      <c r="U229" s="6" t="str">
        <f>IFERROR(__xludf.DUMMYFUNCTION("TRIM(CONCAT(""[right]"", REGEXREPLACE(C229, ""([ROYGBPXZC_]|1?[0-9])"", ""[img=119]res://textures/icons/$0.png[/img]\\n"")))"),"[right][img=119]res://textures/icons/_.png[/img]\n")</f>
        <v>[right][img=119]res://textures/icons/_.png[/img]\n</v>
      </c>
      <c r="V229" s="1" t="str">
        <f>IFERROR(__xludf.DUMMYFUNCTION("SUBSTITUTE(SUBSTITUTE(SUBSTITUTE(SUBSTITUTE(REGEXREPLACE(SUBSTITUTE(SUBSTITUTE(SUBSTITUTE(SUBSTITUTE(REGEXREPLACE(I229, ""(\[([ROYGBPTQUXZC_]|1?[0-9])\])"", ""[img=45]res://textures/icons/$2.png[/img]""),""--"",""—""),""-&gt;"",""•""),""~@"", CONCATENATE(""["&amp;"i]"",REGEXEXTRACT(B229,""^([\s\S]*),|$""),""[/i]"")),""~"", CONCATENATE(""[i]"",B229,""[/i]"")),""(\([\s\S]*?\))"",""[i][color=#34343A]$0[/color][/i]""), ""&lt;"", ""[""), ""&gt;"", ""]""), ""[/p][p]"", ""[font_size=15]\n\n[/font_size]""), ""[br/]"", ""\n"")"),"[center][i][color=#34343A]([img=45]res://textures/icons/_.png[/img] can be paid with [img=45]res://textures/icons/Y.png[/img] or [img=45]res://textures/icons/B.png[/img].)[/color][/i][/center][p]Choose one; or two, if you pay an additional [img=45]res://t"&amp;"extures/icons/_.png[/img] as [i]Frontline First Aid[/i] resolves:[ul]Choose a combatant or commander; [i]Frontline First Aid[/i] deals 3 damage to it.\nChoose a combatant; [u]Heal it 3[/u] [i][color=#34343A](If the specified asset has attack power or heal"&amp;"th reductions, reduce them by 3 [reducing permanent reductions first]. Otherwise remove 3 damage from it.)[/color][/i][/ul][/p]")</f>
        <v xml:space="preserve">[center][i][color=#34343A]([img=45]res://textures/icons/_.png[/img] can be paid with [img=45]res://textures/icons/Y.png[/img] or [img=45]res://textures/icons/B.png[/img].)[/color][/i][/center][p]Choose one; or two, if you pay an additional [img=45]res://textures/icons/_.png[/img] as [i]Frontline First Aid[/i] resolves:[ul]Choose a combatant or commander; [i]Frontline First Aid[/i] deals 3 damage to it.\nChoose a combatant; [u]Heal it 3[/u] [i][color=#34343A](If the specified asset has attack power or health reductions, reduce them by 3 [reducing permanent reductions first]. Otherwise remove 3 damage from it.)[/color][/i][/ul][/p]</v>
      </c>
      <c r="W229" s="6" t="str">
        <f t="shared" si="15"/>
        <v>[i]Effect[/i]</v>
      </c>
      <c r="X229" s="1" t="str">
        <f t="shared" si="16"/>
        <v>RS_MC_YB_001</v>
      </c>
      <c r="Y229" s="1"/>
    </row>
    <row r="230">
      <c r="A230" s="7" t="s">
        <v>76</v>
      </c>
      <c r="B230" s="6" t="str">
        <f t="shared" si="13"/>
        <v>C</v>
      </c>
      <c r="C230" s="8"/>
      <c r="D230" s="9" t="str">
        <f>IFERROR(__xludf.DUMMYFUNCTION("IF(ISBLANK(A230),"""",SWITCH(IF(T230="""",0,COUNTA(SPLIT(T230,"" ""))),0,""Generic"",1,TRIM(T230),2,""Multicolor"",3,""Multicolor"",4,""Multicolor"",5,""Multicolor"",6,""Multicolor"",7,""Multicolor"",8,""Multicolor""))"),"Generic")</f>
        <v>Generic</v>
      </c>
      <c r="E230" s="1"/>
      <c r="F230" s="1"/>
      <c r="H230" s="10"/>
      <c r="I230" s="11"/>
      <c r="J230" s="11"/>
      <c r="K230" s="6" t="s">
        <v>39</v>
      </c>
      <c r="L230" s="6" t="s">
        <v>39</v>
      </c>
      <c r="Q230" s="7">
        <v>60</v>
      </c>
      <c r="R230" s="7">
        <v>50</v>
      </c>
      <c r="S230" s="1" t="str">
        <f t="shared" si="14"/>
        <v>False</v>
      </c>
      <c r="T230" s="6" t="str">
        <f>IFERROR(__xludf.DUMMYFUNCTION("CONCATENATE(if(REGEXMATCH(C230,""R""),"" Red"",""""),if(REGEXMATCH(C230,""O""),"" Orange"",""""),if(REGEXMATCH(C230,""Y""),"" Yellow"",""""),if(REGEXMATCH(C230,""G""),"" Green"",""""),if(REGEXMATCH(C230,""B""),"" Blue"",""""),if(REGEXMATCH(C230,""P""),"" "&amp;"Purple"",""""))"),"")</f>
        <v/>
      </c>
      <c r="U230" s="6" t="str">
        <f>IFERROR(__xludf.DUMMYFUNCTION("TRIM(CONCAT(""[right]"", REGEXREPLACE(C230, ""([ROYGBPXZC_]|1?[0-9])"", ""[img=119]res://textures/icons/$0.png[/img]\\n"")))"),"[right]")</f>
        <v>[right]</v>
      </c>
      <c r="V230" s="1" t="str">
        <f>IFERROR(__xludf.DUMMYFUNCTION("SUBSTITUTE(SUBSTITUTE(SUBSTITUTE(SUBSTITUTE(REGEXREPLACE(SUBSTITUTE(SUBSTITUTE(SUBSTITUTE(SUBSTITUTE(REGEXREPLACE(I230, ""(\[([ROYGBPTQUXZC_]|1?[0-9])\])"", ""[img=45]res://textures/icons/$2.png[/img]""),""--"",""—""),""-&gt;"",""•""),""~@"", CONCATENATE(""["&amp;"i]"",REGEXEXTRACT(B230,""^([\s\S]*),|$""),""[/i]"")),""~"", CONCATENATE(""[i]"",B230,""[/i]"")),""(\([\s\S]*?\))"",""[i][color=#34343A]$0[/color][/i]""), ""&lt;"", ""[""), ""&gt;"", ""]""), ""[/p][p]"", ""[font_size=15]\n\n[/font_size]""), ""[br/]"", ""\n"")"),"")</f>
        <v/>
      </c>
      <c r="W230" s="6" t="str">
        <f t="shared" si="15"/>
        <v>[i][/i]</v>
      </c>
      <c r="X230" s="1" t="str">
        <f t="shared" si="16"/>
        <v>0</v>
      </c>
      <c r="Y230" s="1"/>
    </row>
    <row r="231">
      <c r="A231" s="7" t="s">
        <v>76</v>
      </c>
      <c r="B231" s="6" t="str">
        <f t="shared" ref="B231:B294" si="17">A231</f>
        <v>C</v>
      </c>
      <c r="C231" s="8"/>
      <c r="D231" s="9" t="str">
        <f>IFERROR(__xludf.DUMMYFUNCTION("IF(ISBLANK(A231),"""",SWITCH(IF(T231="""",0,COUNTA(SPLIT(T231,"" ""))),0,""Generic"",1,TRIM(T231),2,""Multicolor"",3,""Multicolor"",4,""Multicolor"",5,""Multicolor"",6,""Multicolor"",7,""Multicolor"",8,""Multicolor""))"),"Generic")</f>
        <v>Generic</v>
      </c>
      <c r="E231" s="1"/>
      <c r="F231" s="1"/>
      <c r="H231" s="10"/>
      <c r="I231" s="11"/>
      <c r="J231" s="11"/>
      <c r="K231" s="6" t="s">
        <v>39</v>
      </c>
      <c r="L231" s="6" t="s">
        <v>39</v>
      </c>
      <c r="Q231" s="7">
        <v>60</v>
      </c>
      <c r="R231" s="7">
        <v>50</v>
      </c>
      <c r="S231" s="1" t="str">
        <f t="shared" si="14"/>
        <v>False</v>
      </c>
      <c r="T231" s="6" t="str">
        <f>IFERROR(__xludf.DUMMYFUNCTION("CONCATENATE(if(REGEXMATCH(C231,""R""),"" Red"",""""),if(REGEXMATCH(C231,""O""),"" Orange"",""""),if(REGEXMATCH(C231,""Y""),"" Yellow"",""""),if(REGEXMATCH(C231,""G""),"" Green"",""""),if(REGEXMATCH(C231,""B""),"" Blue"",""""),if(REGEXMATCH(C231,""P""),"" "&amp;"Purple"",""""))"),"")</f>
        <v/>
      </c>
      <c r="U231" s="6" t="str">
        <f>IFERROR(__xludf.DUMMYFUNCTION("TRIM(CONCAT(""[right]"", REGEXREPLACE(C231, ""([ROYGBPXZC_]|1?[0-9])"", ""[img=119]res://textures/icons/$0.png[/img]\\n"")))"),"[right]")</f>
        <v>[right]</v>
      </c>
      <c r="V231" s="1" t="str">
        <f>IFERROR(__xludf.DUMMYFUNCTION("SUBSTITUTE(SUBSTITUTE(SUBSTITUTE(SUBSTITUTE(REGEXREPLACE(SUBSTITUTE(SUBSTITUTE(SUBSTITUTE(SUBSTITUTE(REGEXREPLACE(I231, ""(\[([ROYGBPTQUXZC_]|1?[0-9])\])"", ""[img=45]res://textures/icons/$2.png[/img]""),""--"",""—""),""-&gt;"",""•""),""~@"", CONCATENATE(""["&amp;"i]"",REGEXEXTRACT(B231,""^([\s\S]*),|$""),""[/i]"")),""~"", CONCATENATE(""[i]"",B231,""[/i]"")),""(\([\s\S]*?\))"",""[i][color=#34343A]$0[/color][/i]""), ""&lt;"", ""[""), ""&gt;"", ""]""), ""[/p][p]"", ""[font_size=15]\n\n[/font_size]""), ""[br/]"", ""\n"")"),"")</f>
        <v/>
      </c>
      <c r="W231" s="6" t="str">
        <f t="shared" si="15"/>
        <v>[i][/i]</v>
      </c>
      <c r="X231" s="1" t="str">
        <f t="shared" si="16"/>
        <v>0</v>
      </c>
      <c r="Y231" s="1"/>
    </row>
    <row r="232">
      <c r="A232" s="7" t="s">
        <v>76</v>
      </c>
      <c r="B232" s="6" t="str">
        <f t="shared" si="17"/>
        <v>C</v>
      </c>
      <c r="C232" s="8"/>
      <c r="D232" s="9" t="str">
        <f>IFERROR(__xludf.DUMMYFUNCTION("IF(ISBLANK(A232),"""",SWITCH(IF(T232="""",0,COUNTA(SPLIT(T232,"" ""))),0,""Generic"",1,TRIM(T232),2,""Multicolor"",3,""Multicolor"",4,""Multicolor"",5,""Multicolor"",6,""Multicolor"",7,""Multicolor"",8,""Multicolor""))"),"Generic")</f>
        <v>Generic</v>
      </c>
      <c r="E232" s="1"/>
      <c r="F232" s="1"/>
      <c r="H232" s="10"/>
      <c r="I232" s="11"/>
      <c r="J232" s="11"/>
      <c r="K232" s="6" t="s">
        <v>39</v>
      </c>
      <c r="L232" s="6" t="s">
        <v>39</v>
      </c>
      <c r="Q232" s="7">
        <v>60</v>
      </c>
      <c r="R232" s="7">
        <v>50</v>
      </c>
      <c r="S232" s="1" t="str">
        <f t="shared" si="14"/>
        <v>False</v>
      </c>
      <c r="T232" s="6" t="str">
        <f>IFERROR(__xludf.DUMMYFUNCTION("CONCATENATE(if(REGEXMATCH(C232,""R""),"" Red"",""""),if(REGEXMATCH(C232,""O""),"" Orange"",""""),if(REGEXMATCH(C232,""Y""),"" Yellow"",""""),if(REGEXMATCH(C232,""G""),"" Green"",""""),if(REGEXMATCH(C232,""B""),"" Blue"",""""),if(REGEXMATCH(C232,""P""),"" "&amp;"Purple"",""""))"),"")</f>
        <v/>
      </c>
      <c r="U232" s="6" t="str">
        <f>IFERROR(__xludf.DUMMYFUNCTION("TRIM(CONCAT(""[right]"", REGEXREPLACE(C232, ""([ROYGBPXZC_]|1?[0-9])"", ""[img=119]res://textures/icons/$0.png[/img]\\n"")))"),"[right]")</f>
        <v>[right]</v>
      </c>
      <c r="V232" s="1" t="str">
        <f>IFERROR(__xludf.DUMMYFUNCTION("SUBSTITUTE(SUBSTITUTE(SUBSTITUTE(SUBSTITUTE(REGEXREPLACE(SUBSTITUTE(SUBSTITUTE(SUBSTITUTE(SUBSTITUTE(REGEXREPLACE(I232, ""(\[([ROYGBPTQUXZC_]|1?[0-9])\])"", ""[img=45]res://textures/icons/$2.png[/img]""),""--"",""—""),""-&gt;"",""•""),""~@"", CONCATENATE(""["&amp;"i]"",REGEXEXTRACT(B232,""^([\s\S]*),|$""),""[/i]"")),""~"", CONCATENATE(""[i]"",B232,""[/i]"")),""(\([\s\S]*?\))"",""[i][color=#34343A]$0[/color][/i]""), ""&lt;"", ""[""), ""&gt;"", ""]""), ""[/p][p]"", ""[font_size=15]\n\n[/font_size]""), ""[br/]"", ""\n"")"),"")</f>
        <v/>
      </c>
      <c r="W232" s="6" t="str">
        <f t="shared" si="15"/>
        <v>[i][/i]</v>
      </c>
      <c r="X232" s="1" t="str">
        <f t="shared" si="16"/>
        <v>0</v>
      </c>
      <c r="Y232" s="1"/>
    </row>
    <row r="233">
      <c r="A233" s="7" t="s">
        <v>76</v>
      </c>
      <c r="B233" s="6" t="str">
        <f t="shared" si="17"/>
        <v>C</v>
      </c>
      <c r="C233" s="8"/>
      <c r="D233" s="9" t="str">
        <f>IFERROR(__xludf.DUMMYFUNCTION("IF(ISBLANK(A233),"""",SWITCH(IF(T233="""",0,COUNTA(SPLIT(T233,"" ""))),0,""Generic"",1,TRIM(T233),2,""Multicolor"",3,""Multicolor"",4,""Multicolor"",5,""Multicolor"",6,""Multicolor"",7,""Multicolor"",8,""Multicolor""))"),"Generic")</f>
        <v>Generic</v>
      </c>
      <c r="E233" s="1"/>
      <c r="F233" s="1"/>
      <c r="H233" s="10"/>
      <c r="I233" s="11"/>
      <c r="J233" s="11"/>
      <c r="K233" s="6" t="s">
        <v>39</v>
      </c>
      <c r="L233" s="6" t="s">
        <v>39</v>
      </c>
      <c r="Q233" s="7">
        <v>60</v>
      </c>
      <c r="R233" s="7">
        <v>50</v>
      </c>
      <c r="S233" s="1" t="str">
        <f t="shared" si="14"/>
        <v>False</v>
      </c>
      <c r="T233" s="6" t="str">
        <f>IFERROR(__xludf.DUMMYFUNCTION("CONCATENATE(if(REGEXMATCH(C233,""R""),"" Red"",""""),if(REGEXMATCH(C233,""O""),"" Orange"",""""),if(REGEXMATCH(C233,""Y""),"" Yellow"",""""),if(REGEXMATCH(C233,""G""),"" Green"",""""),if(REGEXMATCH(C233,""B""),"" Blue"",""""),if(REGEXMATCH(C233,""P""),"" "&amp;"Purple"",""""))"),"")</f>
        <v/>
      </c>
      <c r="U233" s="6" t="str">
        <f>IFERROR(__xludf.DUMMYFUNCTION("TRIM(CONCAT(""[right]"", REGEXREPLACE(C233, ""([ROYGBPXZC_]|1?[0-9])"", ""[img=119]res://textures/icons/$0.png[/img]\\n"")))"),"[right]")</f>
        <v>[right]</v>
      </c>
      <c r="V233" s="1" t="str">
        <f>IFERROR(__xludf.DUMMYFUNCTION("SUBSTITUTE(SUBSTITUTE(SUBSTITUTE(SUBSTITUTE(REGEXREPLACE(SUBSTITUTE(SUBSTITUTE(SUBSTITUTE(SUBSTITUTE(REGEXREPLACE(I233, ""(\[([ROYGBPTQUXZC_]|1?[0-9])\])"", ""[img=45]res://textures/icons/$2.png[/img]""),""--"",""—""),""-&gt;"",""•""),""~@"", CONCATENATE(""["&amp;"i]"",REGEXEXTRACT(B233,""^([\s\S]*),|$""),""[/i]"")),""~"", CONCATENATE(""[i]"",B233,""[/i]"")),""(\([\s\S]*?\))"",""[i][color=#34343A]$0[/color][/i]""), ""&lt;"", ""[""), ""&gt;"", ""]""), ""[/p][p]"", ""[font_size=15]\n\n[/font_size]""), ""[br/]"", ""\n"")"),"")</f>
        <v/>
      </c>
      <c r="W233" s="6" t="str">
        <f t="shared" si="15"/>
        <v>[i][/i]</v>
      </c>
      <c r="X233" s="1" t="str">
        <f t="shared" si="16"/>
        <v>0</v>
      </c>
      <c r="Y233" s="1"/>
    </row>
    <row r="234">
      <c r="A234" s="7" t="s">
        <v>76</v>
      </c>
      <c r="B234" s="6" t="str">
        <f t="shared" si="17"/>
        <v>C</v>
      </c>
      <c r="C234" s="8"/>
      <c r="D234" s="9" t="str">
        <f>IFERROR(__xludf.DUMMYFUNCTION("IF(ISBLANK(A234),"""",SWITCH(IF(T234="""",0,COUNTA(SPLIT(T234,"" ""))),0,""Generic"",1,TRIM(T234),2,""Multicolor"",3,""Multicolor"",4,""Multicolor"",5,""Multicolor"",6,""Multicolor"",7,""Multicolor"",8,""Multicolor""))"),"Generic")</f>
        <v>Generic</v>
      </c>
      <c r="E234" s="1"/>
      <c r="F234" s="1"/>
      <c r="H234" s="10"/>
      <c r="I234" s="11"/>
      <c r="J234" s="11"/>
      <c r="K234" s="6" t="s">
        <v>39</v>
      </c>
      <c r="L234" s="6" t="s">
        <v>39</v>
      </c>
      <c r="Q234" s="7">
        <v>60</v>
      </c>
      <c r="R234" s="7">
        <v>50</v>
      </c>
      <c r="S234" s="1" t="str">
        <f t="shared" si="14"/>
        <v>False</v>
      </c>
      <c r="T234" s="6" t="str">
        <f>IFERROR(__xludf.DUMMYFUNCTION("CONCATENATE(if(REGEXMATCH(C234,""R""),"" Red"",""""),if(REGEXMATCH(C234,""O""),"" Orange"",""""),if(REGEXMATCH(C234,""Y""),"" Yellow"",""""),if(REGEXMATCH(C234,""G""),"" Green"",""""),if(REGEXMATCH(C234,""B""),"" Blue"",""""),if(REGEXMATCH(C234,""P""),"" "&amp;"Purple"",""""))"),"")</f>
        <v/>
      </c>
      <c r="U234" s="6" t="str">
        <f>IFERROR(__xludf.DUMMYFUNCTION("TRIM(CONCAT(""[right]"", REGEXREPLACE(C234, ""([ROYGBPXZC_]|1?[0-9])"", ""[img=119]res://textures/icons/$0.png[/img]\\n"")))"),"[right]")</f>
        <v>[right]</v>
      </c>
      <c r="V234" s="1" t="str">
        <f>IFERROR(__xludf.DUMMYFUNCTION("SUBSTITUTE(SUBSTITUTE(SUBSTITUTE(SUBSTITUTE(REGEXREPLACE(SUBSTITUTE(SUBSTITUTE(SUBSTITUTE(SUBSTITUTE(REGEXREPLACE(I234, ""(\[([ROYGBPTQUXZC_]|1?[0-9])\])"", ""[img=45]res://textures/icons/$2.png[/img]""),""--"",""—""),""-&gt;"",""•""),""~@"", CONCATENATE(""["&amp;"i]"",REGEXEXTRACT(B234,""^([\s\S]*),|$""),""[/i]"")),""~"", CONCATENATE(""[i]"",B234,""[/i]"")),""(\([\s\S]*?\))"",""[i][color=#34343A]$0[/color][/i]""), ""&lt;"", ""[""), ""&gt;"", ""]""), ""[/p][p]"", ""[font_size=15]\n\n[/font_size]""), ""[br/]"", ""\n"")"),"")</f>
        <v/>
      </c>
      <c r="W234" s="6" t="str">
        <f t="shared" si="15"/>
        <v>[i][/i]</v>
      </c>
      <c r="X234" s="1" t="str">
        <f t="shared" si="16"/>
        <v>0</v>
      </c>
      <c r="Y234" s="1"/>
    </row>
    <row r="235">
      <c r="A235" s="7" t="s">
        <v>76</v>
      </c>
      <c r="B235" s="6" t="str">
        <f t="shared" si="17"/>
        <v>C</v>
      </c>
      <c r="C235" s="8"/>
      <c r="D235" s="9" t="str">
        <f>IFERROR(__xludf.DUMMYFUNCTION("IF(ISBLANK(A235),"""",SWITCH(IF(T235="""",0,COUNTA(SPLIT(T235,"" ""))),0,""Generic"",1,TRIM(T235),2,""Multicolor"",3,""Multicolor"",4,""Multicolor"",5,""Multicolor"",6,""Multicolor"",7,""Multicolor"",8,""Multicolor""))"),"Generic")</f>
        <v>Generic</v>
      </c>
      <c r="E235" s="1"/>
      <c r="F235" s="1"/>
      <c r="H235" s="10"/>
      <c r="I235" s="11"/>
      <c r="J235" s="11"/>
      <c r="K235" s="6" t="s">
        <v>39</v>
      </c>
      <c r="L235" s="6" t="s">
        <v>39</v>
      </c>
      <c r="Q235" s="7">
        <v>60</v>
      </c>
      <c r="R235" s="7">
        <v>50</v>
      </c>
      <c r="S235" s="1" t="str">
        <f t="shared" si="14"/>
        <v>False</v>
      </c>
      <c r="T235" s="6" t="str">
        <f>IFERROR(__xludf.DUMMYFUNCTION("CONCATENATE(if(REGEXMATCH(C235,""R""),"" Red"",""""),if(REGEXMATCH(C235,""O""),"" Orange"",""""),if(REGEXMATCH(C235,""Y""),"" Yellow"",""""),if(REGEXMATCH(C235,""G""),"" Green"",""""),if(REGEXMATCH(C235,""B""),"" Blue"",""""),if(REGEXMATCH(C235,""P""),"" "&amp;"Purple"",""""))"),"")</f>
        <v/>
      </c>
      <c r="U235" s="6" t="str">
        <f>IFERROR(__xludf.DUMMYFUNCTION("TRIM(CONCAT(""[right]"", REGEXREPLACE(C235, ""([ROYGBPXZC_]|1?[0-9])"", ""[img=119]res://textures/icons/$0.png[/img]\\n"")))"),"[right]")</f>
        <v>[right]</v>
      </c>
      <c r="V235" s="1" t="str">
        <f>IFERROR(__xludf.DUMMYFUNCTION("SUBSTITUTE(SUBSTITUTE(SUBSTITUTE(SUBSTITUTE(REGEXREPLACE(SUBSTITUTE(SUBSTITUTE(SUBSTITUTE(SUBSTITUTE(REGEXREPLACE(I235, ""(\[([ROYGBPTQUXZC_]|1?[0-9])\])"", ""[img=45]res://textures/icons/$2.png[/img]""),""--"",""—""),""-&gt;"",""•""),""~@"", CONCATENATE(""["&amp;"i]"",REGEXEXTRACT(B235,""^([\s\S]*),|$""),""[/i]"")),""~"", CONCATENATE(""[i]"",B235,""[/i]"")),""(\([\s\S]*?\))"",""[i][color=#34343A]$0[/color][/i]""), ""&lt;"", ""[""), ""&gt;"", ""]""), ""[/p][p]"", ""[font_size=15]\n\n[/font_size]""), ""[br/]"", ""\n"")"),"")</f>
        <v/>
      </c>
      <c r="W235" s="6" t="str">
        <f t="shared" si="15"/>
        <v>[i][/i]</v>
      </c>
      <c r="X235" s="1" t="str">
        <f t="shared" si="16"/>
        <v>0</v>
      </c>
      <c r="Y235" s="1"/>
    </row>
    <row r="236">
      <c r="A236" s="7" t="s">
        <v>76</v>
      </c>
      <c r="B236" s="6" t="str">
        <f t="shared" si="17"/>
        <v>C</v>
      </c>
      <c r="C236" s="8"/>
      <c r="D236" s="9" t="str">
        <f>IFERROR(__xludf.DUMMYFUNCTION("IF(ISBLANK(A236),"""",SWITCH(IF(T236="""",0,COUNTA(SPLIT(T236,"" ""))),0,""Generic"",1,TRIM(T236),2,""Multicolor"",3,""Multicolor"",4,""Multicolor"",5,""Multicolor"",6,""Multicolor"",7,""Multicolor"",8,""Multicolor""))"),"Generic")</f>
        <v>Generic</v>
      </c>
      <c r="E236" s="1"/>
      <c r="F236" s="1"/>
      <c r="H236" s="10"/>
      <c r="I236" s="11"/>
      <c r="J236" s="11"/>
      <c r="K236" s="6" t="s">
        <v>39</v>
      </c>
      <c r="L236" s="6" t="s">
        <v>39</v>
      </c>
      <c r="Q236" s="7">
        <v>60</v>
      </c>
      <c r="R236" s="7">
        <v>50</v>
      </c>
      <c r="S236" s="1" t="str">
        <f t="shared" si="14"/>
        <v>False</v>
      </c>
      <c r="T236" s="6" t="str">
        <f>IFERROR(__xludf.DUMMYFUNCTION("CONCATENATE(if(REGEXMATCH(C236,""R""),"" Red"",""""),if(REGEXMATCH(C236,""O""),"" Orange"",""""),if(REGEXMATCH(C236,""Y""),"" Yellow"",""""),if(REGEXMATCH(C236,""G""),"" Green"",""""),if(REGEXMATCH(C236,""B""),"" Blue"",""""),if(REGEXMATCH(C236,""P""),"" "&amp;"Purple"",""""))"),"")</f>
        <v/>
      </c>
      <c r="U236" s="6" t="str">
        <f>IFERROR(__xludf.DUMMYFUNCTION("TRIM(CONCAT(""[right]"", REGEXREPLACE(C236, ""([ROYGBPXZC_]|1?[0-9])"", ""[img=119]res://textures/icons/$0.png[/img]\\n"")))"),"[right]")</f>
        <v>[right]</v>
      </c>
      <c r="V236" s="1" t="str">
        <f>IFERROR(__xludf.DUMMYFUNCTION("SUBSTITUTE(SUBSTITUTE(SUBSTITUTE(SUBSTITUTE(REGEXREPLACE(SUBSTITUTE(SUBSTITUTE(SUBSTITUTE(SUBSTITUTE(REGEXREPLACE(I236, ""(\[([ROYGBPTQUXZC_]|1?[0-9])\])"", ""[img=45]res://textures/icons/$2.png[/img]""),""--"",""—""),""-&gt;"",""•""),""~@"", CONCATENATE(""["&amp;"i]"",REGEXEXTRACT(B236,""^([\s\S]*),|$""),""[/i]"")),""~"", CONCATENATE(""[i]"",B236,""[/i]"")),""(\([\s\S]*?\))"",""[i][color=#34343A]$0[/color][/i]""), ""&lt;"", ""[""), ""&gt;"", ""]""), ""[/p][p]"", ""[font_size=15]\n\n[/font_size]""), ""[br/]"", ""\n"")"),"")</f>
        <v/>
      </c>
      <c r="W236" s="6" t="str">
        <f t="shared" si="15"/>
        <v>[i][/i]</v>
      </c>
      <c r="X236" s="1" t="str">
        <f t="shared" si="16"/>
        <v>0</v>
      </c>
      <c r="Y236" s="1"/>
    </row>
    <row r="237">
      <c r="A237" s="7" t="s">
        <v>76</v>
      </c>
      <c r="B237" s="6" t="str">
        <f t="shared" si="17"/>
        <v>C</v>
      </c>
      <c r="C237" s="8"/>
      <c r="D237" s="9" t="str">
        <f>IFERROR(__xludf.DUMMYFUNCTION("IF(ISBLANK(A237),"""",SWITCH(IF(T237="""",0,COUNTA(SPLIT(T237,"" ""))),0,""Generic"",1,TRIM(T237),2,""Multicolor"",3,""Multicolor"",4,""Multicolor"",5,""Multicolor"",6,""Multicolor"",7,""Multicolor"",8,""Multicolor""))"),"Generic")</f>
        <v>Generic</v>
      </c>
      <c r="E237" s="1"/>
      <c r="F237" s="1"/>
      <c r="H237" s="10"/>
      <c r="I237" s="11"/>
      <c r="J237" s="11"/>
      <c r="K237" s="6" t="s">
        <v>39</v>
      </c>
      <c r="L237" s="6" t="s">
        <v>39</v>
      </c>
      <c r="Q237" s="7">
        <v>60</v>
      </c>
      <c r="R237" s="7">
        <v>50</v>
      </c>
      <c r="S237" s="1" t="str">
        <f t="shared" si="14"/>
        <v>False</v>
      </c>
      <c r="T237" s="6" t="str">
        <f>IFERROR(__xludf.DUMMYFUNCTION("CONCATENATE(if(REGEXMATCH(C237,""R""),"" Red"",""""),if(REGEXMATCH(C237,""O""),"" Orange"",""""),if(REGEXMATCH(C237,""Y""),"" Yellow"",""""),if(REGEXMATCH(C237,""G""),"" Green"",""""),if(REGEXMATCH(C237,""B""),"" Blue"",""""),if(REGEXMATCH(C237,""P""),"" "&amp;"Purple"",""""))"),"")</f>
        <v/>
      </c>
      <c r="U237" s="6" t="str">
        <f>IFERROR(__xludf.DUMMYFUNCTION("TRIM(CONCAT(""[right]"", REGEXREPLACE(C237, ""([ROYGBPXZC_]|1?[0-9])"", ""[img=119]res://textures/icons/$0.png[/img]\\n"")))"),"[right]")</f>
        <v>[right]</v>
      </c>
      <c r="V237" s="1" t="str">
        <f>IFERROR(__xludf.DUMMYFUNCTION("SUBSTITUTE(SUBSTITUTE(SUBSTITUTE(SUBSTITUTE(REGEXREPLACE(SUBSTITUTE(SUBSTITUTE(SUBSTITUTE(SUBSTITUTE(REGEXREPLACE(I237, ""(\[([ROYGBPTQUXZC_]|1?[0-9])\])"", ""[img=45]res://textures/icons/$2.png[/img]""),""--"",""—""),""-&gt;"",""•""),""~@"", CONCATENATE(""["&amp;"i]"",REGEXEXTRACT(B237,""^([\s\S]*),|$""),""[/i]"")),""~"", CONCATENATE(""[i]"",B237,""[/i]"")),""(\([\s\S]*?\))"",""[i][color=#34343A]$0[/color][/i]""), ""&lt;"", ""[""), ""&gt;"", ""]""), ""[/p][p]"", ""[font_size=15]\n\n[/font_size]""), ""[br/]"", ""\n"")"),"")</f>
        <v/>
      </c>
      <c r="W237" s="6" t="str">
        <f t="shared" si="15"/>
        <v>[i][/i]</v>
      </c>
      <c r="X237" s="1" t="str">
        <f t="shared" si="16"/>
        <v>0</v>
      </c>
      <c r="Y237" s="1"/>
    </row>
    <row r="238">
      <c r="A238" s="7" t="s">
        <v>424</v>
      </c>
      <c r="B238" s="7" t="s">
        <v>425</v>
      </c>
      <c r="C238" s="12" t="s">
        <v>426</v>
      </c>
      <c r="D238" s="9" t="str">
        <f>IFERROR(__xludf.DUMMYFUNCTION("IF(ISBLANK(A238),"""",SWITCH(IF(T238="""",0,COUNTA(SPLIT(T238,"" ""))),0,""Generic"",1,TRIM(T238),2,""Multicolor"",3,""Multicolor"",4,""Multicolor"",5,""Multicolor"",6,""Multicolor"",7,""Multicolor"",8,""Multicolor""))"),"Multicolor")</f>
        <v>Multicolor</v>
      </c>
      <c r="E238" s="1" t="s">
        <v>49</v>
      </c>
      <c r="F238" s="1" t="s">
        <v>80</v>
      </c>
      <c r="G238" s="7" t="s">
        <v>427</v>
      </c>
      <c r="H238" s="10" t="s">
        <v>58</v>
      </c>
      <c r="I238" s="11" t="s">
        <v>428</v>
      </c>
      <c r="J238" s="11" t="s">
        <v>429</v>
      </c>
      <c r="K238" s="6">
        <v>6</v>
      </c>
      <c r="L238" s="6">
        <v>8</v>
      </c>
      <c r="O238" s="11" t="s">
        <v>430</v>
      </c>
      <c r="Q238" s="7">
        <v>60</v>
      </c>
      <c r="R238" s="7">
        <v>35</v>
      </c>
      <c r="S238" s="1" t="str">
        <f t="shared" si="14"/>
        <v>True</v>
      </c>
      <c r="T238" s="6" t="str">
        <f>IFERROR(__xludf.DUMMYFUNCTION("CONCATENATE(if(REGEXMATCH(C238,""R""),"" Red"",""""),if(REGEXMATCH(C238,""O""),"" Orange"",""""),if(REGEXMATCH(C238,""Y""),"" Yellow"",""""),if(REGEXMATCH(C238,""G""),"" Green"",""""),if(REGEXMATCH(C238,""B""),"" Blue"",""""),if(REGEXMATCH(C238,""P""),"" "&amp;"Purple"",""""))")," Yellow Purple")</f>
        <v xml:space="preserve">Yellow Purple</v>
      </c>
      <c r="U238" s="6" t="str">
        <f>IFERROR(__xludf.DUMMYFUNCTION("TRIM(CONCAT(""[right]"", REGEXREPLACE(C238, ""([ROYGBPXZC_]|1?[0-9])"", ""[img=119]res://textures/icons/$0.png[/img]\\n"")))"),"[right][img=119]res://textures/icons/3.png[/img]\n[img=119]res://textures/icons/Y.png[/img]\n[img=119]res://textures/icons/P.png[/img]\n")</f>
        <v>[right][img=119]res://textures/icons/3.png[/img]\n[img=119]res://textures/icons/Y.png[/img]\n[img=119]res://textures/icons/P.png[/img]\n</v>
      </c>
      <c r="V238" s="1" t="str">
        <f>IFERROR(__xludf.DUMMYFUNCTION("SUBSTITUTE(SUBSTITUTE(SUBSTITUTE(SUBSTITUTE(REGEXREPLACE(SUBSTITUTE(SUBSTITUTE(SUBSTITUTE(SUBSTITUTE(REGEXREPLACE(I238, ""(\[([ROYGBPTQUXZC_]|1?[0-9])\])"", ""[img=45]res://textures/icons/$2.png[/img]""),""--"",""—""),""-&gt;"",""•""),""~@"", CONCATENATE(""["&amp;"i]"",REGEXEXTRACT(B238,""^([\s\S]*),|$""),""[/i]"")),""~"", CONCATENATE(""[i]"",B238,""[/i]"")),""(\([\s\S]*?\))"",""[i][color=#34343A]$0[/color][/i]""), ""&lt;"", ""[""), ""&gt;"", ""]""), ""[/p][p]"", ""[font_size=15]\n\n[/font_size]""), ""[br/]"", ""\n"")"),"[p][i]As Commander[/i] — At the beginning of combat on your turn, you may redistribute the equipment you control.[font_size=15]\n\n[/font_size][i]As Asset[/i] — Whenever an [u]Augmentation[/u] enters the battlefield under your control, you may shuffle an "&amp;"[u]Augmentation[/u] in your discard into your deck.[/p]")</f>
        <v xml:space="preserve">[p][i]As Commander[/i] — At the beginning of combat on your turn, you may redistribute the equipment you control.[font_size=15]\n\n[/font_size][i]As Asset[/i] — Whenever an [u]Augmentation[/u] enters the battlefield under your control, you may shuffle an [u]Augmentation[/u] in your discard into your deck.[/p]</v>
      </c>
      <c r="W238" s="6" t="str">
        <f t="shared" si="15"/>
        <v>[i]Commander[/i]</v>
      </c>
      <c r="X238" s="1" t="str">
        <f t="shared" si="16"/>
        <v>RS_M_CMDR_YP_001</v>
      </c>
      <c r="Y238" s="1"/>
    </row>
    <row r="239">
      <c r="A239" s="7" t="s">
        <v>177</v>
      </c>
      <c r="B239" s="6" t="str">
        <f t="shared" si="17"/>
        <v>Y</v>
      </c>
      <c r="C239" s="8"/>
      <c r="D239" s="9" t="str">
        <f>IFERROR(__xludf.DUMMYFUNCTION("IF(ISBLANK(A239),"""",SWITCH(IF(T239="""",0,COUNTA(SPLIT(T239,"" ""))),0,""Generic"",1,TRIM(T239),2,""Multicolor"",3,""Multicolor"",4,""Multicolor"",5,""Multicolor"",6,""Multicolor"",7,""Multicolor"",8,""Multicolor""))"),"Generic")</f>
        <v>Generic</v>
      </c>
      <c r="E239" s="1"/>
      <c r="F239" s="1"/>
      <c r="H239" s="10"/>
      <c r="I239" s="11"/>
      <c r="J239" s="11"/>
      <c r="K239" s="6" t="s">
        <v>39</v>
      </c>
      <c r="L239" s="6" t="s">
        <v>39</v>
      </c>
      <c r="Q239" s="7">
        <v>60</v>
      </c>
      <c r="R239" s="7">
        <v>50</v>
      </c>
      <c r="S239" s="1" t="str">
        <f t="shared" si="14"/>
        <v>False</v>
      </c>
      <c r="T239" s="6" t="str">
        <f>IFERROR(__xludf.DUMMYFUNCTION("CONCATENATE(if(REGEXMATCH(C239,""R""),"" Red"",""""),if(REGEXMATCH(C239,""O""),"" Orange"",""""),if(REGEXMATCH(C239,""Y""),"" Yellow"",""""),if(REGEXMATCH(C239,""G""),"" Green"",""""),if(REGEXMATCH(C239,""B""),"" Blue"",""""),if(REGEXMATCH(C239,""P""),"" "&amp;"Purple"",""""))"),"")</f>
        <v/>
      </c>
      <c r="U239" s="6" t="str">
        <f>IFERROR(__xludf.DUMMYFUNCTION("TRIM(CONCAT(""[right]"", REGEXREPLACE(C239, ""([ROYGBPXZC_]|1?[0-9])"", ""[img=119]res://textures/icons/$0.png[/img]\\n"")))"),"[right]")</f>
        <v>[right]</v>
      </c>
      <c r="V239" s="1" t="str">
        <f>IFERROR(__xludf.DUMMYFUNCTION("SUBSTITUTE(SUBSTITUTE(SUBSTITUTE(SUBSTITUTE(REGEXREPLACE(SUBSTITUTE(SUBSTITUTE(SUBSTITUTE(SUBSTITUTE(REGEXREPLACE(I239, ""(\[([ROYGBPTQUXZC_]|1?[0-9])\])"", ""[img=45]res://textures/icons/$2.png[/img]""),""--"",""—""),""-&gt;"",""•""),""~@"", CONCATENATE(""["&amp;"i]"",REGEXEXTRACT(B239,""^([\s\S]*),|$""),""[/i]"")),""~"", CONCATENATE(""[i]"",B239,""[/i]"")),""(\([\s\S]*?\))"",""[i][color=#34343A]$0[/color][/i]""), ""&lt;"", ""[""), ""&gt;"", ""]""), ""[/p][p]"", ""[font_size=15]\n\n[/font_size]""), ""[br/]"", ""\n"")"),"")</f>
        <v/>
      </c>
      <c r="W239" s="6" t="str">
        <f t="shared" si="15"/>
        <v>[i][/i]</v>
      </c>
      <c r="X239" s="1" t="str">
        <f t="shared" si="16"/>
        <v>0</v>
      </c>
      <c r="Y239" s="1"/>
    </row>
    <row r="240">
      <c r="A240" s="7" t="s">
        <v>177</v>
      </c>
      <c r="B240" s="6" t="str">
        <f t="shared" si="17"/>
        <v>Y</v>
      </c>
      <c r="C240" s="8"/>
      <c r="D240" s="9" t="str">
        <f>IFERROR(__xludf.DUMMYFUNCTION("IF(ISBLANK(A240),"""",SWITCH(IF(T240="""",0,COUNTA(SPLIT(T240,"" ""))),0,""Generic"",1,TRIM(T240),2,""Multicolor"",3,""Multicolor"",4,""Multicolor"",5,""Multicolor"",6,""Multicolor"",7,""Multicolor"",8,""Multicolor""))"),"Generic")</f>
        <v>Generic</v>
      </c>
      <c r="E240" s="1"/>
      <c r="F240" s="1"/>
      <c r="H240" s="10"/>
      <c r="I240" s="11"/>
      <c r="J240" s="11"/>
      <c r="K240" s="6" t="s">
        <v>39</v>
      </c>
      <c r="L240" s="6" t="s">
        <v>39</v>
      </c>
      <c r="Q240" s="7">
        <v>60</v>
      </c>
      <c r="R240" s="7">
        <v>50</v>
      </c>
      <c r="S240" s="1" t="str">
        <f t="shared" si="14"/>
        <v>False</v>
      </c>
      <c r="T240" s="6" t="str">
        <f>IFERROR(__xludf.DUMMYFUNCTION("CONCATENATE(if(REGEXMATCH(C240,""R""),"" Red"",""""),if(REGEXMATCH(C240,""O""),"" Orange"",""""),if(REGEXMATCH(C240,""Y""),"" Yellow"",""""),if(REGEXMATCH(C240,""G""),"" Green"",""""),if(REGEXMATCH(C240,""B""),"" Blue"",""""),if(REGEXMATCH(C240,""P""),"" "&amp;"Purple"",""""))"),"")</f>
        <v/>
      </c>
      <c r="U240" s="6" t="str">
        <f>IFERROR(__xludf.DUMMYFUNCTION("TRIM(CONCAT(""[right]"", REGEXREPLACE(C240, ""([ROYGBPXZC_]|1?[0-9])"", ""[img=119]res://textures/icons/$0.png[/img]\\n"")))"),"[right]")</f>
        <v>[right]</v>
      </c>
      <c r="V240" s="1" t="str">
        <f>IFERROR(__xludf.DUMMYFUNCTION("SUBSTITUTE(SUBSTITUTE(SUBSTITUTE(SUBSTITUTE(REGEXREPLACE(SUBSTITUTE(SUBSTITUTE(SUBSTITUTE(SUBSTITUTE(REGEXREPLACE(I240, ""(\[([ROYGBPTQUXZC_]|1?[0-9])\])"", ""[img=45]res://textures/icons/$2.png[/img]""),""--"",""—""),""-&gt;"",""•""),""~@"", CONCATENATE(""["&amp;"i]"",REGEXEXTRACT(B240,""^([\s\S]*),|$""),""[/i]"")),""~"", CONCATENATE(""[i]"",B240,""[/i]"")),""(\([\s\S]*?\))"",""[i][color=#34343A]$0[/color][/i]""), ""&lt;"", ""[""), ""&gt;"", ""]""), ""[/p][p]"", ""[font_size=15]\n\n[/font_size]""), ""[br/]"", ""\n"")"),"")</f>
        <v/>
      </c>
      <c r="W240" s="6" t="str">
        <f t="shared" si="15"/>
        <v>[i][/i]</v>
      </c>
      <c r="X240" s="1" t="str">
        <f t="shared" si="16"/>
        <v>0</v>
      </c>
      <c r="Y240" s="1"/>
    </row>
    <row r="241">
      <c r="A241" s="7" t="s">
        <v>177</v>
      </c>
      <c r="B241" s="6" t="str">
        <f t="shared" si="17"/>
        <v>Y</v>
      </c>
      <c r="C241" s="8"/>
      <c r="D241" s="9" t="str">
        <f>IFERROR(__xludf.DUMMYFUNCTION("IF(ISBLANK(A241),"""",SWITCH(IF(T241="""",0,COUNTA(SPLIT(T241,"" ""))),0,""Generic"",1,TRIM(T241),2,""Multicolor"",3,""Multicolor"",4,""Multicolor"",5,""Multicolor"",6,""Multicolor"",7,""Multicolor"",8,""Multicolor""))"),"Generic")</f>
        <v>Generic</v>
      </c>
      <c r="E241" s="1"/>
      <c r="F241" s="1"/>
      <c r="H241" s="10"/>
      <c r="I241" s="11"/>
      <c r="J241" s="11"/>
      <c r="K241" s="6" t="s">
        <v>39</v>
      </c>
      <c r="L241" s="6" t="s">
        <v>39</v>
      </c>
      <c r="Q241" s="7">
        <v>60</v>
      </c>
      <c r="R241" s="7">
        <v>50</v>
      </c>
      <c r="S241" s="1" t="str">
        <f t="shared" si="14"/>
        <v>False</v>
      </c>
      <c r="T241" s="6" t="str">
        <f>IFERROR(__xludf.DUMMYFUNCTION("CONCATENATE(if(REGEXMATCH(C241,""R""),"" Red"",""""),if(REGEXMATCH(C241,""O""),"" Orange"",""""),if(REGEXMATCH(C241,""Y""),"" Yellow"",""""),if(REGEXMATCH(C241,""G""),"" Green"",""""),if(REGEXMATCH(C241,""B""),"" Blue"",""""),if(REGEXMATCH(C241,""P""),"" "&amp;"Purple"",""""))"),"")</f>
        <v/>
      </c>
      <c r="U241" s="6" t="str">
        <f>IFERROR(__xludf.DUMMYFUNCTION("TRIM(CONCAT(""[right]"", REGEXREPLACE(C241, ""([ROYGBPXZC_]|1?[0-9])"", ""[img=119]res://textures/icons/$0.png[/img]\\n"")))"),"[right]")</f>
        <v>[right]</v>
      </c>
      <c r="V241" s="1" t="str">
        <f>IFERROR(__xludf.DUMMYFUNCTION("SUBSTITUTE(SUBSTITUTE(SUBSTITUTE(SUBSTITUTE(REGEXREPLACE(SUBSTITUTE(SUBSTITUTE(SUBSTITUTE(SUBSTITUTE(REGEXREPLACE(I241, ""(\[([ROYGBPTQUXZC_]|1?[0-9])\])"", ""[img=45]res://textures/icons/$2.png[/img]""),""--"",""—""),""-&gt;"",""•""),""~@"", CONCATENATE(""["&amp;"i]"",REGEXEXTRACT(B241,""^([\s\S]*),|$""),""[/i]"")),""~"", CONCATENATE(""[i]"",B241,""[/i]"")),""(\([\s\S]*?\))"",""[i][color=#34343A]$0[/color][/i]""), ""&lt;"", ""[""), ""&gt;"", ""]""), ""[/p][p]"", ""[font_size=15]\n\n[/font_size]""), ""[br/]"", ""\n"")"),"")</f>
        <v/>
      </c>
      <c r="W241" s="6" t="str">
        <f t="shared" si="15"/>
        <v>[i][/i]</v>
      </c>
      <c r="X241" s="1" t="str">
        <f t="shared" si="16"/>
        <v>0</v>
      </c>
      <c r="Y241" s="1"/>
    </row>
    <row r="242">
      <c r="A242" s="7" t="s">
        <v>177</v>
      </c>
      <c r="B242" s="6" t="str">
        <f t="shared" si="17"/>
        <v>Y</v>
      </c>
      <c r="C242" s="8"/>
      <c r="D242" s="9" t="str">
        <f>IFERROR(__xludf.DUMMYFUNCTION("IF(ISBLANK(A242),"""",SWITCH(IF(T242="""",0,COUNTA(SPLIT(T242,"" ""))),0,""Generic"",1,TRIM(T242),2,""Multicolor"",3,""Multicolor"",4,""Multicolor"",5,""Multicolor"",6,""Multicolor"",7,""Multicolor"",8,""Multicolor""))"),"Generic")</f>
        <v>Generic</v>
      </c>
      <c r="E242" s="1"/>
      <c r="F242" s="1"/>
      <c r="H242" s="10"/>
      <c r="I242" s="11"/>
      <c r="J242" s="11"/>
      <c r="K242" s="6" t="s">
        <v>39</v>
      </c>
      <c r="L242" s="6" t="s">
        <v>39</v>
      </c>
      <c r="Q242" s="7">
        <v>60</v>
      </c>
      <c r="R242" s="7">
        <v>50</v>
      </c>
      <c r="S242" s="1" t="str">
        <f t="shared" si="14"/>
        <v>False</v>
      </c>
      <c r="T242" s="6" t="str">
        <f>IFERROR(__xludf.DUMMYFUNCTION("CONCATENATE(if(REGEXMATCH(C242,""R""),"" Red"",""""),if(REGEXMATCH(C242,""O""),"" Orange"",""""),if(REGEXMATCH(C242,""Y""),"" Yellow"",""""),if(REGEXMATCH(C242,""G""),"" Green"",""""),if(REGEXMATCH(C242,""B""),"" Blue"",""""),if(REGEXMATCH(C242,""P""),"" "&amp;"Purple"",""""))"),"")</f>
        <v/>
      </c>
      <c r="U242" s="6" t="str">
        <f>IFERROR(__xludf.DUMMYFUNCTION("TRIM(CONCAT(""[right]"", REGEXREPLACE(C242, ""([ROYGBPXZC_]|1?[0-9])"", ""[img=119]res://textures/icons/$0.png[/img]\\n"")))"),"[right]")</f>
        <v>[right]</v>
      </c>
      <c r="V242" s="1" t="str">
        <f>IFERROR(__xludf.DUMMYFUNCTION("SUBSTITUTE(SUBSTITUTE(SUBSTITUTE(SUBSTITUTE(REGEXREPLACE(SUBSTITUTE(SUBSTITUTE(SUBSTITUTE(SUBSTITUTE(REGEXREPLACE(I242, ""(\[([ROYGBPTQUXZC_]|1?[0-9])\])"", ""[img=45]res://textures/icons/$2.png[/img]""),""--"",""—""),""-&gt;"",""•""),""~@"", CONCATENATE(""["&amp;"i]"",REGEXEXTRACT(B242,""^([\s\S]*),|$""),""[/i]"")),""~"", CONCATENATE(""[i]"",B242,""[/i]"")),""(\([\s\S]*?\))"",""[i][color=#34343A]$0[/color][/i]""), ""&lt;"", ""[""), ""&gt;"", ""]""), ""[/p][p]"", ""[font_size=15]\n\n[/font_size]""), ""[br/]"", ""\n"")"),"")</f>
        <v/>
      </c>
      <c r="W242" s="6" t="str">
        <f t="shared" si="15"/>
        <v>[i][/i]</v>
      </c>
      <c r="X242" s="1" t="str">
        <f t="shared" si="16"/>
        <v>0</v>
      </c>
      <c r="Y242" s="1"/>
    </row>
    <row r="243">
      <c r="A243" s="7" t="s">
        <v>431</v>
      </c>
      <c r="B243" s="7" t="s">
        <v>432</v>
      </c>
      <c r="C243" s="12" t="s">
        <v>433</v>
      </c>
      <c r="D243" s="9" t="str">
        <f>IFERROR(__xludf.DUMMYFUNCTION("IF(ISBLANK(A243),"""",SWITCH(IF(T243="""",0,COUNTA(SPLIT(T243,"" ""))),0,""Generic"",1,TRIM(T243),2,""Multicolor"",3,""Multicolor"",4,""Multicolor"",5,""Multicolor"",6,""Multicolor"",7,""Multicolor"",8,""Multicolor""))"),"Multicolor")</f>
        <v>Multicolor</v>
      </c>
      <c r="E243" s="1"/>
      <c r="F243" s="1" t="s">
        <v>35</v>
      </c>
      <c r="H243" s="10" t="s">
        <v>58</v>
      </c>
      <c r="I243" s="11" t="s">
        <v>434</v>
      </c>
      <c r="J243" s="11"/>
      <c r="K243" s="6" t="s">
        <v>39</v>
      </c>
      <c r="L243" s="6" t="s">
        <v>39</v>
      </c>
      <c r="O243" s="11"/>
      <c r="Q243" s="7">
        <v>50</v>
      </c>
      <c r="R243" s="7">
        <v>50</v>
      </c>
      <c r="S243" s="1" t="str">
        <f t="shared" si="14"/>
        <v>False</v>
      </c>
      <c r="T243" s="6" t="str">
        <f>IFERROR(__xludf.DUMMYFUNCTION("CONCATENATE(if(REGEXMATCH(C243,""R""),"" Red"",""""),if(REGEXMATCH(C243,""O""),"" Orange"",""""),if(REGEXMATCH(C243,""Y""),"" Yellow"",""""),if(REGEXMATCH(C243,""G""),"" Green"",""""),if(REGEXMATCH(C243,""B""),"" Blue"",""""),if(REGEXMATCH(C243,""P""),"" "&amp;"Purple"",""""))")," Yellow Purple")</f>
        <v xml:space="preserve">Yellow Purple</v>
      </c>
      <c r="U243" s="6" t="str">
        <f>IFERROR(__xludf.DUMMYFUNCTION("TRIM(CONCAT(""[right]"", REGEXREPLACE(C243, ""([ROYGBPXZC_]|1?[0-9])"", ""[img=119]res://textures/icons/$0.png[/img]\\n"")))"),"[right][img=119]res://textures/icons/1.png[/img]\n[img=119]res://textures/icons/Y.png[/img]\n[img=119]res://textures/icons/P.png[/img]\n")</f>
        <v>[right][img=119]res://textures/icons/1.png[/img]\n[img=119]res://textures/icons/Y.png[/img]\n[img=119]res://textures/icons/P.png[/img]\n</v>
      </c>
      <c r="V243" s="1" t="str">
        <f>IFERROR(__xludf.DUMMYFUNCTION("SUBSTITUTE(SUBSTITUTE(SUBSTITUTE(SUBSTITUTE(REGEXREPLACE(SUBSTITUTE(SUBSTITUTE(SUBSTITUTE(SUBSTITUTE(REGEXREPLACE(I243, ""(\[([ROYGBPTQUXZC_]|1?[0-9])\])"", ""[img=45]res://textures/icons/$2.png[/img]""),""--"",""—""),""-&gt;"",""•""),""~@"", CONCATENATE(""["&amp;"i]"",REGEXEXTRACT(B243,""^([\s\S]*),|$""),""[/i]"")),""~"", CONCATENATE(""[i]"",B243,""[/i]"")),""(\([\s\S]*?\))"",""[i][color=#34343A]$0[/color][/i]""), ""&lt;"", ""[""), ""&gt;"", ""]""), ""[/p][p]"", ""[font_size=15]\n\n[/font_size]""), ""[br/]"", ""\n"")"),"[center][u]Advantageous[/u] [i][color=#34343A](When [i]Corporate Espionage[/i] resolves, draw a card.)[/color][/i], [u]Warrant[/u] [i][color=#34343A](When you deploy [i]Corporate Espionage[/i], shuffle an 'Incarceration' into your deck.)[/color][/i][/cent"&amp;"er][p]Choose a non-combatant asset an opponent controls; create a copy of it.[/p]")</f>
        <v xml:space="preserve">[center][u]Advantageous[/u] [i][color=#34343A](When [i]Corporate Espionage[/i] resolves, draw a card.)[/color][/i], [u]Warrant[/u] [i][color=#34343A](When you deploy [i]Corporate Espionage[/i], shuffle an 'Incarceration' into your deck.)[/color][/i][/center][p]Choose a non-combatant asset an opponent controls; create a copy of it.[/p]</v>
      </c>
      <c r="W243" s="6" t="str">
        <f t="shared" si="15"/>
        <v>[i]Effect[/i]</v>
      </c>
      <c r="X243" s="1" t="str">
        <f t="shared" si="16"/>
        <v>RS_MU_YP_001</v>
      </c>
      <c r="Y243" s="1"/>
    </row>
    <row r="244">
      <c r="A244" s="7" t="s">
        <v>435</v>
      </c>
      <c r="B244" s="7" t="s">
        <v>436</v>
      </c>
      <c r="C244" s="12" t="s">
        <v>143</v>
      </c>
      <c r="D244" s="9" t="str">
        <f>IFERROR(__xludf.DUMMYFUNCTION("IF(ISBLANK(A244),"""",SWITCH(IF(T244="""",0,COUNTA(SPLIT(T244,"" ""))),0,""Generic"",1,TRIM(T244),2,""Multicolor"",3,""Multicolor"",4,""Multicolor"",5,""Multicolor"",6,""Multicolor"",7,""Multicolor"",8,""Multicolor""))"),"Yellow")</f>
        <v>Yellow</v>
      </c>
      <c r="E244" s="1"/>
      <c r="F244" s="1" t="s">
        <v>26</v>
      </c>
      <c r="G244" s="7" t="s">
        <v>98</v>
      </c>
      <c r="H244" s="10" t="s">
        <v>144</v>
      </c>
      <c r="I244" s="11" t="s">
        <v>437</v>
      </c>
      <c r="J244" s="11"/>
      <c r="K244" s="6" t="s">
        <v>39</v>
      </c>
      <c r="L244" s="6" t="s">
        <v>39</v>
      </c>
      <c r="Q244" s="7">
        <v>50</v>
      </c>
      <c r="R244" s="7">
        <v>35</v>
      </c>
      <c r="S244" s="1" t="str">
        <f t="shared" si="14"/>
        <v>False</v>
      </c>
      <c r="T244" s="6" t="str">
        <f>IFERROR(__xludf.DUMMYFUNCTION("CONCATENATE(if(REGEXMATCH(C244,""R""),"" Red"",""""),if(REGEXMATCH(C244,""O""),"" Orange"",""""),if(REGEXMATCH(C244,""Y""),"" Yellow"",""""),if(REGEXMATCH(C244,""G""),"" Green"",""""),if(REGEXMATCH(C244,""B""),"" Blue"",""""),if(REGEXMATCH(C244,""P""),"" "&amp;"Purple"",""""))")," Yellow")</f>
        <v>Yellow</v>
      </c>
      <c r="U244" s="6" t="str">
        <f>IFERROR(__xludf.DUMMYFUNCTION("TRIM(CONCAT(""[right]"", REGEXREPLACE(C244, ""([ROYGBPXZC_]|1?[0-9])"", ""[img=119]res://textures/icons/$0.png[/img]\\n"")))"),"[right][img=119]res://textures/icons/1.png[/img]\n[img=119]res://textures/icons/Y.png[/img]\n")</f>
        <v>[right][img=119]res://textures/icons/1.png[/img]\n[img=119]res://textures/icons/Y.png[/img]\n</v>
      </c>
      <c r="V244" s="1" t="str">
        <f>IFERROR(__xludf.DUMMYFUNCTION("SUBSTITUTE(SUBSTITUTE(SUBSTITUTE(SUBSTITUTE(REGEXREPLACE(SUBSTITUTE(SUBSTITUTE(SUBSTITUTE(SUBSTITUTE(REGEXREPLACE(I244, ""(\[([ROYGBPTQUXZC_]|1?[0-9])\])"", ""[img=45]res://textures/icons/$2.png[/img]""),""--"",""—""),""-&gt;"",""•""),""~@"", CONCATENATE(""["&amp;"i]"",REGEXEXTRACT(B244,""^([\s\S]*),|$""),""[/i]"")),""~"", CONCATENATE(""[i]"",B244,""[/i]"")),""(\([\s\S]*?\))"",""[i][color=#34343A]$0[/color][/i]""), ""&lt;"", ""[""), ""&gt;"", ""]""), ""[/p][p]"", ""[font_size=15]\n\n[/font_size]""), ""[br/]"", ""\n"")"),"[center][i][color=#34343A](If a Human asset has an Augmentation attached, it becomes Augmented.)[/color][/i][/center][p]When [i]Adrenaline Injector[/i] enters the battlefield, choose a combatant to attach it to.[font_size=15]\n\n[/font_size]If the attache"&amp;"d asset would die, it instead dies at the end of the turn.[/p]")</f>
        <v xml:space="preserve">[center][i][color=#34343A](If a Human asset has an Augmentation attached, it becomes Augmented.)[/color][/i][/center][p]When [i]Adrenaline Injector[/i] enters the battlefield, choose a combatant to attach it to.[font_size=15]\n\n[/font_size]If the attached asset would die, it instead dies at the end of the turn.[/p]</v>
      </c>
      <c r="W244" s="6" t="str">
        <f t="shared" si="15"/>
        <v>[i]Asset[/i]</v>
      </c>
      <c r="X244" s="1" t="str">
        <f t="shared" si="16"/>
        <v>RS_YU_003</v>
      </c>
      <c r="Y244" s="1"/>
    </row>
    <row r="245">
      <c r="A245" s="7" t="s">
        <v>75</v>
      </c>
      <c r="B245" s="6" t="str">
        <f t="shared" si="17"/>
        <v>U</v>
      </c>
      <c r="C245" s="8"/>
      <c r="D245" s="9" t="str">
        <f>IFERROR(__xludf.DUMMYFUNCTION("IF(ISBLANK(A245),"""",SWITCH(IF(T245="""",0,COUNTA(SPLIT(T245,"" ""))),0,""Generic"",1,TRIM(T245),2,""Multicolor"",3,""Multicolor"",4,""Multicolor"",5,""Multicolor"",6,""Multicolor"",7,""Multicolor"",8,""Multicolor""))"),"Generic")</f>
        <v>Generic</v>
      </c>
      <c r="E245" s="1"/>
      <c r="F245" s="1"/>
      <c r="H245" s="10"/>
      <c r="I245" s="11"/>
      <c r="J245" s="11"/>
      <c r="K245" s="6" t="s">
        <v>39</v>
      </c>
      <c r="L245" s="6" t="s">
        <v>39</v>
      </c>
      <c r="Q245" s="7">
        <v>60</v>
      </c>
      <c r="R245" s="7">
        <v>50</v>
      </c>
      <c r="S245" s="1" t="str">
        <f t="shared" si="14"/>
        <v>False</v>
      </c>
      <c r="T245" s="6" t="str">
        <f>IFERROR(__xludf.DUMMYFUNCTION("CONCATENATE(if(REGEXMATCH(C245,""R""),"" Red"",""""),if(REGEXMATCH(C245,""O""),"" Orange"",""""),if(REGEXMATCH(C245,""Y""),"" Yellow"",""""),if(REGEXMATCH(C245,""G""),"" Green"",""""),if(REGEXMATCH(C245,""B""),"" Blue"",""""),if(REGEXMATCH(C245,""P""),"" "&amp;"Purple"",""""))"),"")</f>
        <v/>
      </c>
      <c r="U245" s="6" t="str">
        <f>IFERROR(__xludf.DUMMYFUNCTION("TRIM(CONCAT(""[right]"", REGEXREPLACE(C245, ""([ROYGBPXZC_]|1?[0-9])"", ""[img=119]res://textures/icons/$0.png[/img]\\n"")))"),"[right]")</f>
        <v>[right]</v>
      </c>
      <c r="V245" s="1" t="str">
        <f>IFERROR(__xludf.DUMMYFUNCTION("SUBSTITUTE(SUBSTITUTE(SUBSTITUTE(SUBSTITUTE(REGEXREPLACE(SUBSTITUTE(SUBSTITUTE(SUBSTITUTE(SUBSTITUTE(REGEXREPLACE(I245, ""(\[([ROYGBPTQUXZC_]|1?[0-9])\])"", ""[img=45]res://textures/icons/$2.png[/img]""),""--"",""—""),""-&gt;"",""•""),""~@"", CONCATENATE(""["&amp;"i]"",REGEXEXTRACT(B245,""^([\s\S]*),|$""),""[/i]"")),""~"", CONCATENATE(""[i]"",B245,""[/i]"")),""(\([\s\S]*?\))"",""[i][color=#34343A]$0[/color][/i]""), ""&lt;"", ""[""), ""&gt;"", ""]""), ""[/p][p]"", ""[font_size=15]\n\n[/font_size]""), ""[br/]"", ""\n"")"),"")</f>
        <v/>
      </c>
      <c r="W245" s="6" t="str">
        <f t="shared" si="15"/>
        <v>[i][/i]</v>
      </c>
      <c r="X245" s="1" t="str">
        <f t="shared" si="16"/>
        <v>0</v>
      </c>
      <c r="Y245" s="1"/>
    </row>
    <row r="246">
      <c r="A246" s="7" t="s">
        <v>75</v>
      </c>
      <c r="B246" s="6" t="str">
        <f t="shared" si="17"/>
        <v>U</v>
      </c>
      <c r="C246" s="8"/>
      <c r="D246" s="9" t="str">
        <f>IFERROR(__xludf.DUMMYFUNCTION("IF(ISBLANK(A246),"""",SWITCH(IF(T246="""",0,COUNTA(SPLIT(T246,"" ""))),0,""Generic"",1,TRIM(T246),2,""Multicolor"",3,""Multicolor"",4,""Multicolor"",5,""Multicolor"",6,""Multicolor"",7,""Multicolor"",8,""Multicolor""))"),"Generic")</f>
        <v>Generic</v>
      </c>
      <c r="E246" s="1"/>
      <c r="F246" s="1"/>
      <c r="H246" s="10"/>
      <c r="I246" s="11"/>
      <c r="J246" s="11"/>
      <c r="K246" s="6" t="s">
        <v>39</v>
      </c>
      <c r="L246" s="6" t="s">
        <v>39</v>
      </c>
      <c r="Q246" s="7">
        <v>60</v>
      </c>
      <c r="R246" s="7">
        <v>50</v>
      </c>
      <c r="S246" s="1" t="str">
        <f t="shared" si="14"/>
        <v>False</v>
      </c>
      <c r="T246" s="6" t="str">
        <f>IFERROR(__xludf.DUMMYFUNCTION("CONCATENATE(if(REGEXMATCH(C246,""R""),"" Red"",""""),if(REGEXMATCH(C246,""O""),"" Orange"",""""),if(REGEXMATCH(C246,""Y""),"" Yellow"",""""),if(REGEXMATCH(C246,""G""),"" Green"",""""),if(REGEXMATCH(C246,""B""),"" Blue"",""""),if(REGEXMATCH(C246,""P""),"" "&amp;"Purple"",""""))"),"")</f>
        <v/>
      </c>
      <c r="U246" s="6" t="str">
        <f>IFERROR(__xludf.DUMMYFUNCTION("TRIM(CONCAT(""[right]"", REGEXREPLACE(C246, ""([ROYGBPXZC_]|1?[0-9])"", ""[img=119]res://textures/icons/$0.png[/img]\\n"")))"),"[right]")</f>
        <v>[right]</v>
      </c>
      <c r="V246" s="1" t="str">
        <f>IFERROR(__xludf.DUMMYFUNCTION("SUBSTITUTE(SUBSTITUTE(SUBSTITUTE(SUBSTITUTE(REGEXREPLACE(SUBSTITUTE(SUBSTITUTE(SUBSTITUTE(SUBSTITUTE(REGEXREPLACE(I246, ""(\[([ROYGBPTQUXZC_]|1?[0-9])\])"", ""[img=45]res://textures/icons/$2.png[/img]""),""--"",""—""),""-&gt;"",""•""),""~@"", CONCATENATE(""["&amp;"i]"",REGEXEXTRACT(B246,""^([\s\S]*),|$""),""[/i]"")),""~"", CONCATENATE(""[i]"",B246,""[/i]"")),""(\([\s\S]*?\))"",""[i][color=#34343A]$0[/color][/i]""), ""&lt;"", ""[""), ""&gt;"", ""]""), ""[/p][p]"", ""[font_size=15]\n\n[/font_size]""), ""[br/]"", ""\n"")"),"")</f>
        <v/>
      </c>
      <c r="W246" s="6" t="str">
        <f t="shared" si="15"/>
        <v>[i][/i]</v>
      </c>
      <c r="X246" s="1" t="str">
        <f t="shared" si="16"/>
        <v>0</v>
      </c>
      <c r="Y246" s="1"/>
    </row>
    <row r="247">
      <c r="A247" s="7" t="s">
        <v>75</v>
      </c>
      <c r="B247" s="6" t="str">
        <f t="shared" si="17"/>
        <v>U</v>
      </c>
      <c r="C247" s="8"/>
      <c r="D247" s="9" t="str">
        <f>IFERROR(__xludf.DUMMYFUNCTION("IF(ISBLANK(A247),"""",SWITCH(IF(T247="""",0,COUNTA(SPLIT(T247,"" ""))),0,""Generic"",1,TRIM(T247),2,""Multicolor"",3,""Multicolor"",4,""Multicolor"",5,""Multicolor"",6,""Multicolor"",7,""Multicolor"",8,""Multicolor""))"),"Generic")</f>
        <v>Generic</v>
      </c>
      <c r="E247" s="1"/>
      <c r="F247" s="1"/>
      <c r="H247" s="10"/>
      <c r="I247" s="11"/>
      <c r="J247" s="11"/>
      <c r="K247" s="6" t="s">
        <v>39</v>
      </c>
      <c r="L247" s="6" t="s">
        <v>39</v>
      </c>
      <c r="Q247" s="7">
        <v>60</v>
      </c>
      <c r="R247" s="7">
        <v>50</v>
      </c>
      <c r="S247" s="1" t="str">
        <f t="shared" si="14"/>
        <v>False</v>
      </c>
      <c r="T247" s="6" t="str">
        <f>IFERROR(__xludf.DUMMYFUNCTION("CONCATENATE(if(REGEXMATCH(C247,""R""),"" Red"",""""),if(REGEXMATCH(C247,""O""),"" Orange"",""""),if(REGEXMATCH(C247,""Y""),"" Yellow"",""""),if(REGEXMATCH(C247,""G""),"" Green"",""""),if(REGEXMATCH(C247,""B""),"" Blue"",""""),if(REGEXMATCH(C247,""P""),"" "&amp;"Purple"",""""))"),"")</f>
        <v/>
      </c>
      <c r="U247" s="6" t="str">
        <f>IFERROR(__xludf.DUMMYFUNCTION("TRIM(CONCAT(""[right]"", REGEXREPLACE(C247, ""([ROYGBPXZC_]|1?[0-9])"", ""[img=119]res://textures/icons/$0.png[/img]\\n"")))"),"[right]")</f>
        <v>[right]</v>
      </c>
      <c r="V247" s="1" t="str">
        <f>IFERROR(__xludf.DUMMYFUNCTION("SUBSTITUTE(SUBSTITUTE(SUBSTITUTE(SUBSTITUTE(REGEXREPLACE(SUBSTITUTE(SUBSTITUTE(SUBSTITUTE(SUBSTITUTE(REGEXREPLACE(I247, ""(\[([ROYGBPTQUXZC_]|1?[0-9])\])"", ""[img=45]res://textures/icons/$2.png[/img]""),""--"",""—""),""-&gt;"",""•""),""~@"", CONCATENATE(""["&amp;"i]"",REGEXEXTRACT(B247,""^([\s\S]*),|$""),""[/i]"")),""~"", CONCATENATE(""[i]"",B247,""[/i]"")),""(\([\s\S]*?\))"",""[i][color=#34343A]$0[/color][/i]""), ""&lt;"", ""[""), ""&gt;"", ""]""), ""[/p][p]"", ""[font_size=15]\n\n[/font_size]""), ""[br/]"", ""\n"")"),"")</f>
        <v/>
      </c>
      <c r="W247" s="6" t="str">
        <f t="shared" si="15"/>
        <v>[i][/i]</v>
      </c>
      <c r="X247" s="1" t="str">
        <f t="shared" si="16"/>
        <v>0</v>
      </c>
      <c r="Y247" s="1"/>
    </row>
    <row r="248">
      <c r="A248" s="7" t="s">
        <v>75</v>
      </c>
      <c r="B248" s="6" t="str">
        <f t="shared" si="17"/>
        <v>U</v>
      </c>
      <c r="C248" s="8"/>
      <c r="D248" s="9" t="str">
        <f>IFERROR(__xludf.DUMMYFUNCTION("IF(ISBLANK(A248),"""",SWITCH(IF(T248="""",0,COUNTA(SPLIT(T248,"" ""))),0,""Generic"",1,TRIM(T248),2,""Multicolor"",3,""Multicolor"",4,""Multicolor"",5,""Multicolor"",6,""Multicolor"",7,""Multicolor"",8,""Multicolor""))"),"Generic")</f>
        <v>Generic</v>
      </c>
      <c r="E248" s="1"/>
      <c r="F248" s="1"/>
      <c r="H248" s="10"/>
      <c r="I248" s="11"/>
      <c r="J248" s="11"/>
      <c r="K248" s="6" t="s">
        <v>39</v>
      </c>
      <c r="L248" s="6" t="s">
        <v>39</v>
      </c>
      <c r="Q248" s="7">
        <v>60</v>
      </c>
      <c r="R248" s="7">
        <v>50</v>
      </c>
      <c r="S248" s="1" t="str">
        <f t="shared" si="14"/>
        <v>False</v>
      </c>
      <c r="T248" s="6" t="str">
        <f>IFERROR(__xludf.DUMMYFUNCTION("CONCATENATE(if(REGEXMATCH(C248,""R""),"" Red"",""""),if(REGEXMATCH(C248,""O""),"" Orange"",""""),if(REGEXMATCH(C248,""Y""),"" Yellow"",""""),if(REGEXMATCH(C248,""G""),"" Green"",""""),if(REGEXMATCH(C248,""B""),"" Blue"",""""),if(REGEXMATCH(C248,""P""),"" "&amp;"Purple"",""""))"),"")</f>
        <v/>
      </c>
      <c r="U248" s="6" t="str">
        <f>IFERROR(__xludf.DUMMYFUNCTION("TRIM(CONCAT(""[right]"", REGEXREPLACE(C248, ""([ROYGBPXZC_]|1?[0-9])"", ""[img=119]res://textures/icons/$0.png[/img]\\n"")))"),"[right]")</f>
        <v>[right]</v>
      </c>
      <c r="V248" s="1" t="str">
        <f>IFERROR(__xludf.DUMMYFUNCTION("SUBSTITUTE(SUBSTITUTE(SUBSTITUTE(SUBSTITUTE(REGEXREPLACE(SUBSTITUTE(SUBSTITUTE(SUBSTITUTE(SUBSTITUTE(REGEXREPLACE(I248, ""(\[([ROYGBPTQUXZC_]|1?[0-9])\])"", ""[img=45]res://textures/icons/$2.png[/img]""),""--"",""—""),""-&gt;"",""•""),""~@"", CONCATENATE(""["&amp;"i]"",REGEXEXTRACT(B248,""^([\s\S]*),|$""),""[/i]"")),""~"", CONCATENATE(""[i]"",B248,""[/i]"")),""(\([\s\S]*?\))"",""[i][color=#34343A]$0[/color][/i]""), ""&lt;"", ""[""), ""&gt;"", ""]""), ""[/p][p]"", ""[font_size=15]\n\n[/font_size]""), ""[br/]"", ""\n"")"),"")</f>
        <v/>
      </c>
      <c r="W248" s="6" t="str">
        <f t="shared" si="15"/>
        <v>[i][/i]</v>
      </c>
      <c r="X248" s="1" t="str">
        <f t="shared" si="16"/>
        <v>0</v>
      </c>
      <c r="Y248" s="1"/>
    </row>
    <row r="249">
      <c r="A249" s="7" t="s">
        <v>438</v>
      </c>
      <c r="B249" s="7" t="s">
        <v>439</v>
      </c>
      <c r="C249" s="12" t="s">
        <v>263</v>
      </c>
      <c r="D249" s="9" t="s">
        <v>107</v>
      </c>
      <c r="E249" s="1"/>
      <c r="F249" s="1" t="s">
        <v>26</v>
      </c>
      <c r="G249" s="7" t="s">
        <v>98</v>
      </c>
      <c r="H249" s="10" t="s">
        <v>153</v>
      </c>
      <c r="I249" s="11" t="s">
        <v>440</v>
      </c>
      <c r="J249" s="11" t="s">
        <v>441</v>
      </c>
      <c r="K249" s="6" t="s">
        <v>39</v>
      </c>
      <c r="L249" s="6" t="s">
        <v>39</v>
      </c>
      <c r="O249" s="11"/>
      <c r="Q249" s="7">
        <v>50</v>
      </c>
      <c r="R249" s="7">
        <v>35</v>
      </c>
      <c r="S249" s="1" t="str">
        <f t="shared" si="14"/>
        <v>False</v>
      </c>
      <c r="T249" s="7" t="s">
        <v>442</v>
      </c>
      <c r="U249" s="6" t="str">
        <f>IFERROR(__xludf.DUMMYFUNCTION("TRIM(CONCAT(""[right]"", REGEXREPLACE(C249, ""([ROYGBPXZC_]|1?[0-9])"", ""[img=119]res://textures/icons/$0.png[/img]\\n"")))"),"[right][img=119]res://textures/icons/_.png[/img]\n")</f>
        <v>[right][img=119]res://textures/icons/_.png[/img]\n</v>
      </c>
      <c r="V249" s="1" t="str">
        <f>IFERROR(__xludf.DUMMYFUNCTION("SUBSTITUTE(SUBSTITUTE(SUBSTITUTE(SUBSTITUTE(REGEXREPLACE(SUBSTITUTE(SUBSTITUTE(SUBSTITUTE(SUBSTITUTE(REGEXREPLACE(I249, ""(\[([ROYGBPTQUXZC_]|1?[0-9])\])"", ""[img=45]res://textures/icons/$2.png[/img]""),""--"",""—""),""-&gt;"",""•""),""~@"", CONCATENATE(""["&amp;"i]"",REGEXEXTRACT(B249,""^([\s\S]*),|$""),""[/i]"")),""~"", CONCATENATE(""[i]"",B249,""[/i]"")),""(\([\s\S]*?\))"",""[i][color=#34343A]$0[/color][/i]""), ""&lt;"", ""[""), ""&gt;"", ""]""), ""[/p][p]"", ""[font_size=15]\n\n[/font_size]""), ""[br/]"", ""\n"")"),"[center][i][color=#34343A]([img=45]res://textures/icons/_.png[/img] can be paid with either [img=45]res://textures/icons/Y.png[/img] or [img=45]res://textures/icons/P.png[/img]. If a Human asset has an Augmentation attached, it becomes Augmented.)[/color]"&amp;"[/i][/center][p]When [i]Clearview Flagship[/i] enters the battlefield, choose a combatant to attach it to.[font_size=15]\n\n[/font_size]Attached combatant gets +1/+1.[/p]")</f>
        <v xml:space="preserve">[center][i][color=#34343A]([img=45]res://textures/icons/_.png[/img] can be paid with either [img=45]res://textures/icons/Y.png[/img] or [img=45]res://textures/icons/P.png[/img]. If a Human asset has an Augmentation attached, it becomes Augmented.)[/color][/i][/center][p]When [i]Clearview Flagship[/i] enters the battlefield, choose a combatant to attach it to.[font_size=15]\n\n[/font_size]Attached combatant gets +1/+1.[/p]</v>
      </c>
      <c r="W249" s="6" t="str">
        <f t="shared" si="15"/>
        <v>[i]Asset[/i]</v>
      </c>
      <c r="X249" s="1" t="str">
        <f t="shared" si="16"/>
        <v>RS_MC_YP_001</v>
      </c>
      <c r="Y249" s="1"/>
    </row>
    <row r="250">
      <c r="A250" s="7" t="s">
        <v>76</v>
      </c>
      <c r="B250" s="6" t="str">
        <f t="shared" si="17"/>
        <v>C</v>
      </c>
      <c r="C250" s="8"/>
      <c r="D250" s="9" t="str">
        <f>IFERROR(__xludf.DUMMYFUNCTION("IF(ISBLANK(A250),"""",SWITCH(IF(T250="""",0,COUNTA(SPLIT(T250,"" ""))),0,""Generic"",1,TRIM(T250),2,""Multicolor"",3,""Multicolor"",4,""Multicolor"",5,""Multicolor"",6,""Multicolor"",7,""Multicolor"",8,""Multicolor""))"),"Generic")</f>
        <v>Generic</v>
      </c>
      <c r="E250" s="1"/>
      <c r="F250" s="1"/>
      <c r="H250" s="10"/>
      <c r="I250" s="11"/>
      <c r="J250" s="11"/>
      <c r="K250" s="6" t="s">
        <v>39</v>
      </c>
      <c r="L250" s="6" t="s">
        <v>39</v>
      </c>
      <c r="Q250" s="7">
        <v>60</v>
      </c>
      <c r="R250" s="7">
        <v>50</v>
      </c>
      <c r="S250" s="1" t="str">
        <f t="shared" si="14"/>
        <v>False</v>
      </c>
      <c r="T250" s="6" t="str">
        <f>IFERROR(__xludf.DUMMYFUNCTION("CONCATENATE(if(REGEXMATCH(C250,""R""),"" Red"",""""),if(REGEXMATCH(C250,""O""),"" Orange"",""""),if(REGEXMATCH(C250,""Y""),"" Yellow"",""""),if(REGEXMATCH(C250,""G""),"" Green"",""""),if(REGEXMATCH(C250,""B""),"" Blue"",""""),if(REGEXMATCH(C250,""P""),"" "&amp;"Purple"",""""))"),"")</f>
        <v/>
      </c>
      <c r="U250" s="6" t="str">
        <f>IFERROR(__xludf.DUMMYFUNCTION("TRIM(CONCAT(""[right]"", REGEXREPLACE(C250, ""([ROYGBPXZC_]|1?[0-9])"", ""[img=119]res://textures/icons/$0.png[/img]\\n"")))"),"[right]")</f>
        <v>[right]</v>
      </c>
      <c r="V250" s="1" t="str">
        <f>IFERROR(__xludf.DUMMYFUNCTION("SUBSTITUTE(SUBSTITUTE(SUBSTITUTE(SUBSTITUTE(REGEXREPLACE(SUBSTITUTE(SUBSTITUTE(SUBSTITUTE(SUBSTITUTE(REGEXREPLACE(I250, ""(\[([ROYGBPTQUXZC_]|1?[0-9])\])"", ""[img=45]res://textures/icons/$2.png[/img]""),""--"",""—""),""-&gt;"",""•""),""~@"", CONCATENATE(""["&amp;"i]"",REGEXEXTRACT(B250,""^([\s\S]*),|$""),""[/i]"")),""~"", CONCATENATE(""[i]"",B250,""[/i]"")),""(\([\s\S]*?\))"",""[i][color=#34343A]$0[/color][/i]""), ""&lt;"", ""[""), ""&gt;"", ""]""), ""[/p][p]"", ""[font_size=15]\n\n[/font_size]""), ""[br/]"", ""\n"")"),"")</f>
        <v/>
      </c>
      <c r="W250" s="6" t="str">
        <f t="shared" si="15"/>
        <v>[i][/i]</v>
      </c>
      <c r="X250" s="1" t="str">
        <f t="shared" si="16"/>
        <v>0</v>
      </c>
      <c r="Y250" s="1"/>
    </row>
    <row r="251">
      <c r="A251" s="7" t="s">
        <v>76</v>
      </c>
      <c r="B251" s="6" t="str">
        <f t="shared" si="17"/>
        <v>C</v>
      </c>
      <c r="C251" s="8"/>
      <c r="D251" s="9" t="str">
        <f>IFERROR(__xludf.DUMMYFUNCTION("IF(ISBLANK(A251),"""",SWITCH(IF(T251="""",0,COUNTA(SPLIT(T251,"" ""))),0,""Generic"",1,TRIM(T251),2,""Multicolor"",3,""Multicolor"",4,""Multicolor"",5,""Multicolor"",6,""Multicolor"",7,""Multicolor"",8,""Multicolor""))"),"Generic")</f>
        <v>Generic</v>
      </c>
      <c r="E251" s="1"/>
      <c r="F251" s="1"/>
      <c r="H251" s="10"/>
      <c r="I251" s="11"/>
      <c r="J251" s="11"/>
      <c r="K251" s="6" t="s">
        <v>39</v>
      </c>
      <c r="L251" s="6" t="s">
        <v>39</v>
      </c>
      <c r="Q251" s="7">
        <v>60</v>
      </c>
      <c r="R251" s="7">
        <v>50</v>
      </c>
      <c r="S251" s="1" t="str">
        <f t="shared" si="14"/>
        <v>False</v>
      </c>
      <c r="T251" s="6" t="str">
        <f>IFERROR(__xludf.DUMMYFUNCTION("CONCATENATE(if(REGEXMATCH(C251,""R""),"" Red"",""""),if(REGEXMATCH(C251,""O""),"" Orange"",""""),if(REGEXMATCH(C251,""Y""),"" Yellow"",""""),if(REGEXMATCH(C251,""G""),"" Green"",""""),if(REGEXMATCH(C251,""B""),"" Blue"",""""),if(REGEXMATCH(C251,""P""),"" "&amp;"Purple"",""""))"),"")</f>
        <v/>
      </c>
      <c r="U251" s="6" t="str">
        <f>IFERROR(__xludf.DUMMYFUNCTION("TRIM(CONCAT(""[right]"", REGEXREPLACE(C251, ""([ROYGBPXZC_]|1?[0-9])"", ""[img=119]res://textures/icons/$0.png[/img]\\n"")))"),"[right]")</f>
        <v>[right]</v>
      </c>
      <c r="V251" s="1" t="str">
        <f>IFERROR(__xludf.DUMMYFUNCTION("SUBSTITUTE(SUBSTITUTE(SUBSTITUTE(SUBSTITUTE(REGEXREPLACE(SUBSTITUTE(SUBSTITUTE(SUBSTITUTE(SUBSTITUTE(REGEXREPLACE(I251, ""(\[([ROYGBPTQUXZC_]|1?[0-9])\])"", ""[img=45]res://textures/icons/$2.png[/img]""),""--"",""—""),""-&gt;"",""•""),""~@"", CONCATENATE(""["&amp;"i]"",REGEXEXTRACT(B251,""^([\s\S]*),|$""),""[/i]"")),""~"", CONCATENATE(""[i]"",B251,""[/i]"")),""(\([\s\S]*?\))"",""[i][color=#34343A]$0[/color][/i]""), ""&lt;"", ""[""), ""&gt;"", ""]""), ""[/p][p]"", ""[font_size=15]\n\n[/font_size]""), ""[br/]"", ""\n"")"),"")</f>
        <v/>
      </c>
      <c r="W251" s="6" t="str">
        <f t="shared" si="15"/>
        <v>[i][/i]</v>
      </c>
      <c r="X251" s="1" t="str">
        <f t="shared" si="16"/>
        <v>0</v>
      </c>
      <c r="Y251" s="1"/>
    </row>
    <row r="252">
      <c r="A252" s="7" t="s">
        <v>76</v>
      </c>
      <c r="B252" s="6" t="str">
        <f t="shared" si="17"/>
        <v>C</v>
      </c>
      <c r="C252" s="8"/>
      <c r="D252" s="9" t="str">
        <f>IFERROR(__xludf.DUMMYFUNCTION("IF(ISBLANK(A252),"""",SWITCH(IF(T252="""",0,COUNTA(SPLIT(T252,"" ""))),0,""Generic"",1,TRIM(T252),2,""Multicolor"",3,""Multicolor"",4,""Multicolor"",5,""Multicolor"",6,""Multicolor"",7,""Multicolor"",8,""Multicolor""))"),"Generic")</f>
        <v>Generic</v>
      </c>
      <c r="E252" s="1"/>
      <c r="F252" s="1"/>
      <c r="H252" s="10"/>
      <c r="I252" s="11"/>
      <c r="J252" s="11"/>
      <c r="K252" s="6" t="s">
        <v>39</v>
      </c>
      <c r="L252" s="6" t="s">
        <v>39</v>
      </c>
      <c r="Q252" s="7">
        <v>60</v>
      </c>
      <c r="R252" s="7">
        <v>50</v>
      </c>
      <c r="S252" s="1" t="str">
        <f t="shared" si="14"/>
        <v>False</v>
      </c>
      <c r="T252" s="6" t="str">
        <f>IFERROR(__xludf.DUMMYFUNCTION("CONCATENATE(if(REGEXMATCH(C252,""R""),"" Red"",""""),if(REGEXMATCH(C252,""O""),"" Orange"",""""),if(REGEXMATCH(C252,""Y""),"" Yellow"",""""),if(REGEXMATCH(C252,""G""),"" Green"",""""),if(REGEXMATCH(C252,""B""),"" Blue"",""""),if(REGEXMATCH(C252,""P""),"" "&amp;"Purple"",""""))"),"")</f>
        <v/>
      </c>
      <c r="U252" s="6" t="str">
        <f>IFERROR(__xludf.DUMMYFUNCTION("TRIM(CONCAT(""[right]"", REGEXREPLACE(C252, ""([ROYGBPXZC_]|1?[0-9])"", ""[img=119]res://textures/icons/$0.png[/img]\\n"")))"),"[right]")</f>
        <v>[right]</v>
      </c>
      <c r="V252" s="1" t="str">
        <f>IFERROR(__xludf.DUMMYFUNCTION("SUBSTITUTE(SUBSTITUTE(SUBSTITUTE(SUBSTITUTE(REGEXREPLACE(SUBSTITUTE(SUBSTITUTE(SUBSTITUTE(SUBSTITUTE(REGEXREPLACE(I252, ""(\[([ROYGBPTQUXZC_]|1?[0-9])\])"", ""[img=45]res://textures/icons/$2.png[/img]""),""--"",""—""),""-&gt;"",""•""),""~@"", CONCATENATE(""["&amp;"i]"",REGEXEXTRACT(B252,""^([\s\S]*),|$""),""[/i]"")),""~"", CONCATENATE(""[i]"",B252,""[/i]"")),""(\([\s\S]*?\))"",""[i][color=#34343A]$0[/color][/i]""), ""&lt;"", ""[""), ""&gt;"", ""]""), ""[/p][p]"", ""[font_size=15]\n\n[/font_size]""), ""[br/]"", ""\n"")"),"")</f>
        <v/>
      </c>
      <c r="W252" s="6" t="str">
        <f t="shared" si="15"/>
        <v>[i][/i]</v>
      </c>
      <c r="X252" s="1" t="str">
        <f t="shared" si="16"/>
        <v>0</v>
      </c>
      <c r="Y252" s="1"/>
    </row>
    <row r="253">
      <c r="A253" s="7" t="s">
        <v>76</v>
      </c>
      <c r="B253" s="6" t="str">
        <f t="shared" si="17"/>
        <v>C</v>
      </c>
      <c r="C253" s="8"/>
      <c r="D253" s="9" t="str">
        <f>IFERROR(__xludf.DUMMYFUNCTION("IF(ISBLANK(A253),"""",SWITCH(IF(T253="""",0,COUNTA(SPLIT(T253,"" ""))),0,""Generic"",1,TRIM(T253),2,""Multicolor"",3,""Multicolor"",4,""Multicolor"",5,""Multicolor"",6,""Multicolor"",7,""Multicolor"",8,""Multicolor""))"),"Generic")</f>
        <v>Generic</v>
      </c>
      <c r="E253" s="1"/>
      <c r="F253" s="1"/>
      <c r="H253" s="10"/>
      <c r="I253" s="11"/>
      <c r="J253" s="11"/>
      <c r="K253" s="6" t="s">
        <v>39</v>
      </c>
      <c r="L253" s="6" t="s">
        <v>39</v>
      </c>
      <c r="Q253" s="7">
        <v>60</v>
      </c>
      <c r="R253" s="7">
        <v>50</v>
      </c>
      <c r="S253" s="1" t="str">
        <f t="shared" si="14"/>
        <v>False</v>
      </c>
      <c r="T253" s="6" t="str">
        <f>IFERROR(__xludf.DUMMYFUNCTION("CONCATENATE(if(REGEXMATCH(C253,""R""),"" Red"",""""),if(REGEXMATCH(C253,""O""),"" Orange"",""""),if(REGEXMATCH(C253,""Y""),"" Yellow"",""""),if(REGEXMATCH(C253,""G""),"" Green"",""""),if(REGEXMATCH(C253,""B""),"" Blue"",""""),if(REGEXMATCH(C253,""P""),"" "&amp;"Purple"",""""))"),"")</f>
        <v/>
      </c>
      <c r="U253" s="6" t="str">
        <f>IFERROR(__xludf.DUMMYFUNCTION("TRIM(CONCAT(""[right]"", REGEXREPLACE(C253, ""([ROYGBPXZC_]|1?[0-9])"", ""[img=119]res://textures/icons/$0.png[/img]\\n"")))"),"[right]")</f>
        <v>[right]</v>
      </c>
      <c r="V253" s="1" t="str">
        <f>IFERROR(__xludf.DUMMYFUNCTION("SUBSTITUTE(SUBSTITUTE(SUBSTITUTE(SUBSTITUTE(REGEXREPLACE(SUBSTITUTE(SUBSTITUTE(SUBSTITUTE(SUBSTITUTE(REGEXREPLACE(I253, ""(\[([ROYGBPTQUXZC_]|1?[0-9])\])"", ""[img=45]res://textures/icons/$2.png[/img]""),""--"",""—""),""-&gt;"",""•""),""~@"", CONCATENATE(""["&amp;"i]"",REGEXEXTRACT(B253,""^([\s\S]*),|$""),""[/i]"")),""~"", CONCATENATE(""[i]"",B253,""[/i]"")),""(\([\s\S]*?\))"",""[i][color=#34343A]$0[/color][/i]""), ""&lt;"", ""[""), ""&gt;"", ""]""), ""[/p][p]"", ""[font_size=15]\n\n[/font_size]""), ""[br/]"", ""\n"")"),"")</f>
        <v/>
      </c>
      <c r="W253" s="6" t="str">
        <f t="shared" si="15"/>
        <v>[i][/i]</v>
      </c>
      <c r="X253" s="1" t="str">
        <f t="shared" si="16"/>
        <v>0</v>
      </c>
      <c r="Y253" s="1"/>
    </row>
    <row r="254">
      <c r="A254" s="7" t="s">
        <v>76</v>
      </c>
      <c r="B254" s="6" t="str">
        <f t="shared" si="17"/>
        <v>C</v>
      </c>
      <c r="C254" s="8"/>
      <c r="D254" s="9" t="str">
        <f>IFERROR(__xludf.DUMMYFUNCTION("IF(ISBLANK(A254),"""",SWITCH(IF(T254="""",0,COUNTA(SPLIT(T254,"" ""))),0,""Generic"",1,TRIM(T254),2,""Multicolor"",3,""Multicolor"",4,""Multicolor"",5,""Multicolor"",6,""Multicolor"",7,""Multicolor"",8,""Multicolor""))"),"Generic")</f>
        <v>Generic</v>
      </c>
      <c r="E254" s="1"/>
      <c r="F254" s="1"/>
      <c r="H254" s="10"/>
      <c r="I254" s="11"/>
      <c r="J254" s="11"/>
      <c r="K254" s="6" t="s">
        <v>39</v>
      </c>
      <c r="L254" s="6" t="s">
        <v>39</v>
      </c>
      <c r="Q254" s="7">
        <v>60</v>
      </c>
      <c r="R254" s="7">
        <v>50</v>
      </c>
      <c r="S254" s="1" t="str">
        <f t="shared" si="14"/>
        <v>False</v>
      </c>
      <c r="T254" s="6" t="str">
        <f>IFERROR(__xludf.DUMMYFUNCTION("CONCATENATE(if(REGEXMATCH(C254,""R""),"" Red"",""""),if(REGEXMATCH(C254,""O""),"" Orange"",""""),if(REGEXMATCH(C254,""Y""),"" Yellow"",""""),if(REGEXMATCH(C254,""G""),"" Green"",""""),if(REGEXMATCH(C254,""B""),"" Blue"",""""),if(REGEXMATCH(C254,""P""),"" "&amp;"Purple"",""""))"),"")</f>
        <v/>
      </c>
      <c r="U254" s="6" t="str">
        <f>IFERROR(__xludf.DUMMYFUNCTION("TRIM(CONCAT(""[right]"", REGEXREPLACE(C254, ""([ROYGBPXZC_]|1?[0-9])"", ""[img=119]res://textures/icons/$0.png[/img]\\n"")))"),"[right]")</f>
        <v>[right]</v>
      </c>
      <c r="V254" s="1" t="str">
        <f>IFERROR(__xludf.DUMMYFUNCTION("SUBSTITUTE(SUBSTITUTE(SUBSTITUTE(SUBSTITUTE(REGEXREPLACE(SUBSTITUTE(SUBSTITUTE(SUBSTITUTE(SUBSTITUTE(REGEXREPLACE(I254, ""(\[([ROYGBPTQUXZC_]|1?[0-9])\])"", ""[img=45]res://textures/icons/$2.png[/img]""),""--"",""—""),""-&gt;"",""•""),""~@"", CONCATENATE(""["&amp;"i]"",REGEXEXTRACT(B254,""^([\s\S]*),|$""),""[/i]"")),""~"", CONCATENATE(""[i]"",B254,""[/i]"")),""(\([\s\S]*?\))"",""[i][color=#34343A]$0[/color][/i]""), ""&lt;"", ""[""), ""&gt;"", ""]""), ""[/p][p]"", ""[font_size=15]\n\n[/font_size]""), ""[br/]"", ""\n"")"),"")</f>
        <v/>
      </c>
      <c r="W254" s="6" t="str">
        <f t="shared" si="15"/>
        <v>[i][/i]</v>
      </c>
      <c r="X254" s="1" t="str">
        <f t="shared" si="16"/>
        <v>0</v>
      </c>
      <c r="Y254" s="1"/>
    </row>
    <row r="255">
      <c r="A255" s="7" t="s">
        <v>76</v>
      </c>
      <c r="B255" s="6" t="str">
        <f t="shared" si="17"/>
        <v>C</v>
      </c>
      <c r="C255" s="8"/>
      <c r="D255" s="9" t="str">
        <f>IFERROR(__xludf.DUMMYFUNCTION("IF(ISBLANK(A255),"""",SWITCH(IF(T255="""",0,COUNTA(SPLIT(T255,"" ""))),0,""Generic"",1,TRIM(T255),2,""Multicolor"",3,""Multicolor"",4,""Multicolor"",5,""Multicolor"",6,""Multicolor"",7,""Multicolor"",8,""Multicolor""))"),"Generic")</f>
        <v>Generic</v>
      </c>
      <c r="E255" s="1"/>
      <c r="F255" s="1"/>
      <c r="H255" s="10"/>
      <c r="I255" s="11"/>
      <c r="J255" s="11"/>
      <c r="K255" s="6" t="s">
        <v>39</v>
      </c>
      <c r="L255" s="6" t="s">
        <v>39</v>
      </c>
      <c r="Q255" s="7">
        <v>60</v>
      </c>
      <c r="R255" s="7">
        <v>50</v>
      </c>
      <c r="S255" s="1" t="str">
        <f t="shared" si="14"/>
        <v>False</v>
      </c>
      <c r="T255" s="6" t="str">
        <f>IFERROR(__xludf.DUMMYFUNCTION("CONCATENATE(if(REGEXMATCH(C255,""R""),"" Red"",""""),if(REGEXMATCH(C255,""O""),"" Orange"",""""),if(REGEXMATCH(C255,""Y""),"" Yellow"",""""),if(REGEXMATCH(C255,""G""),"" Green"",""""),if(REGEXMATCH(C255,""B""),"" Blue"",""""),if(REGEXMATCH(C255,""P""),"" "&amp;"Purple"",""""))"),"")</f>
        <v/>
      </c>
      <c r="U255" s="6" t="str">
        <f>IFERROR(__xludf.DUMMYFUNCTION("TRIM(CONCAT(""[right]"", REGEXREPLACE(C255, ""([ROYGBPXZC_]|1?[0-9])"", ""[img=119]res://textures/icons/$0.png[/img]\\n"")))"),"[right]")</f>
        <v>[right]</v>
      </c>
      <c r="V255" s="1" t="str">
        <f>IFERROR(__xludf.DUMMYFUNCTION("SUBSTITUTE(SUBSTITUTE(SUBSTITUTE(SUBSTITUTE(REGEXREPLACE(SUBSTITUTE(SUBSTITUTE(SUBSTITUTE(SUBSTITUTE(REGEXREPLACE(I255, ""(\[([ROYGBPTQUXZC_]|1?[0-9])\])"", ""[img=45]res://textures/icons/$2.png[/img]""),""--"",""—""),""-&gt;"",""•""),""~@"", CONCATENATE(""["&amp;"i]"",REGEXEXTRACT(B255,""^([\s\S]*),|$""),""[/i]"")),""~"", CONCATENATE(""[i]"",B255,""[/i]"")),""(\([\s\S]*?\))"",""[i][color=#34343A]$0[/color][/i]""), ""&lt;"", ""[""), ""&gt;"", ""]""), ""[/p][p]"", ""[font_size=15]\n\n[/font_size]""), ""[br/]"", ""\n"")"),"")</f>
        <v/>
      </c>
      <c r="W255" s="6" t="str">
        <f t="shared" si="15"/>
        <v>[i][/i]</v>
      </c>
      <c r="X255" s="1" t="str">
        <f t="shared" si="16"/>
        <v>0</v>
      </c>
      <c r="Y255" s="1"/>
    </row>
    <row r="256">
      <c r="A256" s="7" t="s">
        <v>76</v>
      </c>
      <c r="B256" s="6" t="str">
        <f t="shared" si="17"/>
        <v>C</v>
      </c>
      <c r="C256" s="8"/>
      <c r="D256" s="9" t="str">
        <f>IFERROR(__xludf.DUMMYFUNCTION("IF(ISBLANK(A256),"""",SWITCH(IF(T256="""",0,COUNTA(SPLIT(T256,"" ""))),0,""Generic"",1,TRIM(T256),2,""Multicolor"",3,""Multicolor"",4,""Multicolor"",5,""Multicolor"",6,""Multicolor"",7,""Multicolor"",8,""Multicolor""))"),"Generic")</f>
        <v>Generic</v>
      </c>
      <c r="E256" s="1"/>
      <c r="F256" s="1"/>
      <c r="H256" s="10"/>
      <c r="I256" s="11"/>
      <c r="J256" s="11"/>
      <c r="K256" s="6" t="s">
        <v>39</v>
      </c>
      <c r="L256" s="6" t="s">
        <v>39</v>
      </c>
      <c r="Q256" s="7">
        <v>60</v>
      </c>
      <c r="R256" s="7">
        <v>50</v>
      </c>
      <c r="S256" s="1" t="str">
        <f t="shared" si="14"/>
        <v>False</v>
      </c>
      <c r="T256" s="6" t="str">
        <f>IFERROR(__xludf.DUMMYFUNCTION("CONCATENATE(if(REGEXMATCH(C256,""R""),"" Red"",""""),if(REGEXMATCH(C256,""O""),"" Orange"",""""),if(REGEXMATCH(C256,""Y""),"" Yellow"",""""),if(REGEXMATCH(C256,""G""),"" Green"",""""),if(REGEXMATCH(C256,""B""),"" Blue"",""""),if(REGEXMATCH(C256,""P""),"" "&amp;"Purple"",""""))"),"")</f>
        <v/>
      </c>
      <c r="U256" s="6" t="str">
        <f>IFERROR(__xludf.DUMMYFUNCTION("TRIM(CONCAT(""[right]"", REGEXREPLACE(C256, ""([ROYGBPXZC_]|1?[0-9])"", ""[img=119]res://textures/icons/$0.png[/img]\\n"")))"),"[right]")</f>
        <v>[right]</v>
      </c>
      <c r="V256" s="1" t="str">
        <f>IFERROR(__xludf.DUMMYFUNCTION("SUBSTITUTE(SUBSTITUTE(SUBSTITUTE(SUBSTITUTE(REGEXREPLACE(SUBSTITUTE(SUBSTITUTE(SUBSTITUTE(SUBSTITUTE(REGEXREPLACE(I256, ""(\[([ROYGBPTQUXZC_]|1?[0-9])\])"", ""[img=45]res://textures/icons/$2.png[/img]""),""--"",""—""),""-&gt;"",""•""),""~@"", CONCATENATE(""["&amp;"i]"",REGEXEXTRACT(B256,""^([\s\S]*),|$""),""[/i]"")),""~"", CONCATENATE(""[i]"",B256,""[/i]"")),""(\([\s\S]*?\))"",""[i][color=#34343A]$0[/color][/i]""), ""&lt;"", ""[""), ""&gt;"", ""]""), ""[/p][p]"", ""[font_size=15]\n\n[/font_size]""), ""[br/]"", ""\n"")"),"")</f>
        <v/>
      </c>
      <c r="W256" s="6" t="str">
        <f t="shared" si="15"/>
        <v>[i][/i]</v>
      </c>
      <c r="X256" s="1" t="str">
        <f t="shared" si="16"/>
        <v>0</v>
      </c>
      <c r="Y256" s="1"/>
    </row>
    <row r="257">
      <c r="A257" s="7" t="s">
        <v>76</v>
      </c>
      <c r="B257" s="6" t="str">
        <f t="shared" si="17"/>
        <v>C</v>
      </c>
      <c r="C257" s="8"/>
      <c r="D257" s="9" t="str">
        <f>IFERROR(__xludf.DUMMYFUNCTION("IF(ISBLANK(A257),"""",SWITCH(IF(T257="""",0,COUNTA(SPLIT(T257,"" ""))),0,""Generic"",1,TRIM(T257),2,""Multicolor"",3,""Multicolor"",4,""Multicolor"",5,""Multicolor"",6,""Multicolor"",7,""Multicolor"",8,""Multicolor""))"),"Generic")</f>
        <v>Generic</v>
      </c>
      <c r="E257" s="1"/>
      <c r="F257" s="1"/>
      <c r="H257" s="10"/>
      <c r="I257" s="11"/>
      <c r="J257" s="11"/>
      <c r="K257" s="6" t="s">
        <v>39</v>
      </c>
      <c r="L257" s="6" t="s">
        <v>39</v>
      </c>
      <c r="Q257" s="7">
        <v>60</v>
      </c>
      <c r="R257" s="7">
        <v>50</v>
      </c>
      <c r="S257" s="1" t="str">
        <f t="shared" si="14"/>
        <v>False</v>
      </c>
      <c r="T257" s="6" t="str">
        <f>IFERROR(__xludf.DUMMYFUNCTION("CONCATENATE(if(REGEXMATCH(C257,""R""),"" Red"",""""),if(REGEXMATCH(C257,""O""),"" Orange"",""""),if(REGEXMATCH(C257,""Y""),"" Yellow"",""""),if(REGEXMATCH(C257,""G""),"" Green"",""""),if(REGEXMATCH(C257,""B""),"" Blue"",""""),if(REGEXMATCH(C257,""P""),"" "&amp;"Purple"",""""))"),"")</f>
        <v/>
      </c>
      <c r="U257" s="6" t="str">
        <f>IFERROR(__xludf.DUMMYFUNCTION("TRIM(CONCAT(""[right]"", REGEXREPLACE(C257, ""([ROYGBPXZC_]|1?[0-9])"", ""[img=119]res://textures/icons/$0.png[/img]\\n"")))"),"[right]")</f>
        <v>[right]</v>
      </c>
      <c r="V257" s="1" t="str">
        <f>IFERROR(__xludf.DUMMYFUNCTION("SUBSTITUTE(SUBSTITUTE(SUBSTITUTE(SUBSTITUTE(REGEXREPLACE(SUBSTITUTE(SUBSTITUTE(SUBSTITUTE(SUBSTITUTE(REGEXREPLACE(I257, ""(\[([ROYGBPTQUXZC_]|1?[0-9])\])"", ""[img=45]res://textures/icons/$2.png[/img]""),""--"",""—""),""-&gt;"",""•""),""~@"", CONCATENATE(""["&amp;"i]"",REGEXEXTRACT(B257,""^([\s\S]*),|$""),""[/i]"")),""~"", CONCATENATE(""[i]"",B257,""[/i]"")),""(\([\s\S]*?\))"",""[i][color=#34343A]$0[/color][/i]""), ""&lt;"", ""[""), ""&gt;"", ""]""), ""[/p][p]"", ""[font_size=15]\n\n[/font_size]""), ""[br/]"", ""\n"")"),"")</f>
        <v/>
      </c>
      <c r="W257" s="6" t="str">
        <f t="shared" si="15"/>
        <v>[i][/i]</v>
      </c>
      <c r="X257" s="1" t="str">
        <f t="shared" si="16"/>
        <v>0</v>
      </c>
      <c r="Y257" s="1"/>
    </row>
    <row r="258">
      <c r="A258" s="7" t="s">
        <v>443</v>
      </c>
      <c r="B258" s="7" t="str">
        <f t="shared" si="17"/>
        <v>M_CMDR_GB_001</v>
      </c>
      <c r="C258" s="8"/>
      <c r="D258" s="9" t="str">
        <f>IFERROR(__xludf.DUMMYFUNCTION("IF(ISBLANK(A258),"""",SWITCH(IF(T258="""",0,COUNTA(SPLIT(T258,"" ""))),0,""Generic"",1,TRIM(T258),2,""Multicolor"",3,""Multicolor"",4,""Multicolor"",5,""Multicolor"",6,""Multicolor"",7,""Multicolor"",8,""Multicolor""))"),"Generic")</f>
        <v>Generic</v>
      </c>
      <c r="E258" s="1"/>
      <c r="F258" s="1"/>
      <c r="G258" s="7" t="s">
        <v>444</v>
      </c>
      <c r="H258" s="10" t="s">
        <v>444</v>
      </c>
      <c r="I258" s="11" t="s">
        <v>444</v>
      </c>
      <c r="J258" s="11" t="s">
        <v>444</v>
      </c>
      <c r="K258" s="6" t="e">
        <v>#VALUE!</v>
      </c>
      <c r="L258" s="6" t="e">
        <v>#VALUE!</v>
      </c>
      <c r="O258" s="7" t="s">
        <v>444</v>
      </c>
      <c r="Q258" s="7">
        <v>60</v>
      </c>
      <c r="R258" s="7">
        <v>50</v>
      </c>
      <c r="S258" s="1" t="str">
        <f t="shared" ref="S258:S321" si="18">IF(ISBLANK(A258),"",IF(EQ(LEN(TRIM(K258)),0),"False","True"))</f>
        <v>#VALUE!</v>
      </c>
      <c r="T258" s="6" t="str">
        <f>IFERROR(__xludf.DUMMYFUNCTION("CONCATENATE(if(REGEXMATCH(C258,""R""),"" Red"",""""),if(REGEXMATCH(C258,""O""),"" Orange"",""""),if(REGEXMATCH(C258,""Y""),"" Yellow"",""""),if(REGEXMATCH(C258,""G""),"" Green"",""""),if(REGEXMATCH(C258,""B""),"" Blue"",""""),if(REGEXMATCH(C258,""P""),"" "&amp;"Purple"",""""))"),"")</f>
        <v/>
      </c>
      <c r="U258" s="6" t="str">
        <f>IFERROR(__xludf.DUMMYFUNCTION("TRIM(CONCAT(""[right]"", REGEXREPLACE(C258, ""([ROYGBPXZC_]|1?[0-9])"", ""[img=119]res://textures/icons/$0.png[/img]\\n"")))"),"[right]")</f>
        <v>[right]</v>
      </c>
      <c r="V258" s="1" t="str">
        <f>IFERROR(__xludf.DUMMYFUNCTION("SUBSTITUTE(SUBSTITUTE(SUBSTITUTE(SUBSTITUTE(REGEXREPLACE(SUBSTITUTE(SUBSTITUTE(SUBSTITUTE(SUBSTITUTE(REGEXREPLACE(I258, ""(\[([ROYGBPTQUXZC_]|1?[0-9])\])"", ""[img=45]res://textures/icons/$2.png[/img]""),""--"",""—""),""-&gt;"",""•""),""~@"", CONCATENATE(""["&amp;"i]"",REGEXEXTRACT(B258,""^([\s\S]*),|$""),""[/i]"")),""~"", CONCATENATE(""[i]"",B258,""[/i]"")),""(\([\s\S]*?\))"",""[i][color=#34343A]$0[/color][/i]""), ""&lt;"", ""[""), ""&gt;"", ""]""), ""[/p][p]"", ""[font_size=15]\n\n[/font_size]""), ""[br/]"", ""\n"")"),"Tax control")</f>
        <v xml:space="preserve">Tax control</v>
      </c>
      <c r="W258" s="6" t="str">
        <f t="shared" ref="W258:W321" si="19">CONCATENATE("[i]",F258,"[/i]")</f>
        <v>[i][/i]</v>
      </c>
      <c r="X258" s="1" t="str">
        <f t="shared" ref="X258:X321" si="20">IF(EQ(A258,B258),"0",CONCATENATE("RS_",A258))</f>
        <v>0</v>
      </c>
      <c r="Y258" s="1"/>
    </row>
    <row r="259">
      <c r="A259" s="7" t="s">
        <v>445</v>
      </c>
      <c r="B259" s="7" t="s">
        <v>446</v>
      </c>
      <c r="C259" s="12" t="s">
        <v>447</v>
      </c>
      <c r="D259" s="9" t="str">
        <f>IFERROR(__xludf.DUMMYFUNCTION("IF(ISBLANK(A259),"""",SWITCH(IF(T259="""",0,COUNTA(SPLIT(T259,"" ""))),0,""Generic"",1,TRIM(T259),2,""Multicolor"",3,""Multicolor"",4,""Multicolor"",5,""Multicolor"",6,""Multicolor"",7,""Multicolor"",8,""Multicolor""))"),"Multicolor")</f>
        <v>Multicolor</v>
      </c>
      <c r="E259" s="1"/>
      <c r="F259" s="1" t="s">
        <v>63</v>
      </c>
      <c r="H259" s="10" t="s">
        <v>223</v>
      </c>
      <c r="I259" s="11" t="s">
        <v>448</v>
      </c>
      <c r="J259" s="11"/>
      <c r="K259" s="6" t="s">
        <v>39</v>
      </c>
      <c r="L259" s="6" t="s">
        <v>39</v>
      </c>
      <c r="O259" s="11"/>
      <c r="Q259" s="7">
        <v>60</v>
      </c>
      <c r="R259" s="7">
        <v>50</v>
      </c>
      <c r="S259" s="1" t="str">
        <f t="shared" si="18"/>
        <v>False</v>
      </c>
      <c r="T259" s="6" t="str">
        <f>IFERROR(__xludf.DUMMYFUNCTION("CONCATENATE(if(REGEXMATCH(C259,""R""),"" Red"",""""),if(REGEXMATCH(C259,""O""),"" Orange"",""""),if(REGEXMATCH(C259,""Y""),"" Yellow"",""""),if(REGEXMATCH(C259,""G""),"" Green"",""""),if(REGEXMATCH(C259,""B""),"" Blue"",""""),if(REGEXMATCH(C259,""P""),"" "&amp;"Purple"",""""))")," Green Blue")</f>
        <v xml:space="preserve">Green Blue</v>
      </c>
      <c r="U259" s="6" t="str">
        <f>IFERROR(__xludf.DUMMYFUNCTION("TRIM(CONCAT(""[right]"", REGEXREPLACE(C259, ""([ROYGBPXZC_]|1?[0-9])"", ""[img=119]res://textures/icons/$0.png[/img]\\n"")))"),"[right][img=119]res://textures/icons/4.png[/img]\n[img=119]res://textures/icons/B.png[/img]\n[img=119]res://textures/icons/G.png[/img]\n")</f>
        <v>[right][img=119]res://textures/icons/4.png[/img]\n[img=119]res://textures/icons/B.png[/img]\n[img=119]res://textures/icons/G.png[/img]\n</v>
      </c>
      <c r="V259" s="1" t="str">
        <f>IFERROR(__xludf.DUMMYFUNCTION("SUBSTITUTE(SUBSTITUTE(SUBSTITUTE(SUBSTITUTE(REGEXREPLACE(SUBSTITUTE(SUBSTITUTE(SUBSTITUTE(SUBSTITUTE(REGEXREPLACE(I259, ""(\[([ROYGBPTQUXZC_]|1?[0-9])\])"", ""[img=45]res://textures/icons/$2.png[/img]""),""--"",""—""),""-&gt;"",""•""),""~@"", CONCATENATE(""["&amp;"i]"",REGEXEXTRACT(B259,""^([\s\S]*),|$""),""[/i]"")),""~"", CONCATENATE(""[i]"",B259,""[/i]"")),""(\([\s\S]*?\))"",""[i][color=#34343A]$0[/color][/i]""), ""&lt;"", ""[""), ""&gt;"", ""]""), ""[/p][p]"", ""[font_size=15]\n\n[/font_size]""), ""[br/]"", ""\n"")"),"[center][i][color=#34343A](This effect can only be deployed if you control a renowned asset. Banked energy can't be spent to deploy renowned cards.)[/color][/i][/center][p]Choose a commander to have its loyalty swapped with your commander's loyalty.[/p]")</f>
        <v xml:space="preserve">[center][i][color=#34343A](This effect can only be deployed if you control a renowned asset. Banked energy can't be spent to deploy renowned cards.)[/color][/i][/center][p]Choose a commander to have its loyalty swapped with your commander's loyalty.[/p]</v>
      </c>
      <c r="W259" s="6" t="str">
        <f t="shared" si="19"/>
        <v xml:space="preserve">[i]R. Effect[/i]</v>
      </c>
      <c r="X259" s="1" t="str">
        <f t="shared" si="20"/>
        <v>RS_MR_GB_001</v>
      </c>
      <c r="Y259" s="1"/>
    </row>
    <row r="260">
      <c r="A260" s="7" t="s">
        <v>177</v>
      </c>
      <c r="B260" s="6" t="str">
        <f t="shared" si="17"/>
        <v>Y</v>
      </c>
      <c r="C260" s="8"/>
      <c r="D260" s="9" t="str">
        <f>IFERROR(__xludf.DUMMYFUNCTION("IF(ISBLANK(A260),"""",SWITCH(IF(T260="""",0,COUNTA(SPLIT(T260,"" ""))),0,""Generic"",1,TRIM(T260),2,""Multicolor"",3,""Multicolor"",4,""Multicolor"",5,""Multicolor"",6,""Multicolor"",7,""Multicolor"",8,""Multicolor""))"),"Generic")</f>
        <v>Generic</v>
      </c>
      <c r="E260" s="1"/>
      <c r="F260" s="1"/>
      <c r="H260" s="10"/>
      <c r="I260" s="11"/>
      <c r="J260" s="11"/>
      <c r="K260" s="6" t="s">
        <v>39</v>
      </c>
      <c r="L260" s="6" t="s">
        <v>39</v>
      </c>
      <c r="O260" s="11"/>
      <c r="Q260" s="7">
        <v>60</v>
      </c>
      <c r="R260" s="7">
        <v>50</v>
      </c>
      <c r="S260" s="1" t="str">
        <f t="shared" si="18"/>
        <v>False</v>
      </c>
      <c r="T260" s="6" t="str">
        <f>IFERROR(__xludf.DUMMYFUNCTION("CONCATENATE(if(REGEXMATCH(C260,""R""),"" Red"",""""),if(REGEXMATCH(C260,""O""),"" Orange"",""""),if(REGEXMATCH(C260,""Y""),"" Yellow"",""""),if(REGEXMATCH(C260,""G""),"" Green"",""""),if(REGEXMATCH(C260,""B""),"" Blue"",""""),if(REGEXMATCH(C260,""P""),"" "&amp;"Purple"",""""))"),"")</f>
        <v/>
      </c>
      <c r="U260" s="6" t="str">
        <f>IFERROR(__xludf.DUMMYFUNCTION("TRIM(CONCAT(""[right]"", REGEXREPLACE(C260, ""([ROYGBPXZC_]|1?[0-9])"", ""[img=119]res://textures/icons/$0.png[/img]\\n"")))"),"[right]")</f>
        <v>[right]</v>
      </c>
      <c r="V260" s="1" t="str">
        <f>IFERROR(__xludf.DUMMYFUNCTION("SUBSTITUTE(SUBSTITUTE(SUBSTITUTE(SUBSTITUTE(REGEXREPLACE(SUBSTITUTE(SUBSTITUTE(SUBSTITUTE(SUBSTITUTE(REGEXREPLACE(I260, ""(\[([ROYGBPTQUXZC_]|1?[0-9])\])"", ""[img=45]res://textures/icons/$2.png[/img]""),""--"",""—""),""-&gt;"",""•""),""~@"", CONCATENATE(""["&amp;"i]"",REGEXEXTRACT(B260,""^([\s\S]*),|$""),""[/i]"")),""~"", CONCATENATE(""[i]"",B260,""[/i]"")),""(\([\s\S]*?\))"",""[i][color=#34343A]$0[/color][/i]""), ""&lt;"", ""[""), ""&gt;"", ""]""), ""[/p][p]"", ""[font_size=15]\n\n[/font_size]""), ""[br/]"", ""\n"")"),"")</f>
        <v/>
      </c>
      <c r="W260" s="6" t="str">
        <f t="shared" si="19"/>
        <v>[i][/i]</v>
      </c>
      <c r="X260" s="1" t="str">
        <f t="shared" si="20"/>
        <v>0</v>
      </c>
      <c r="Y260" s="1"/>
    </row>
    <row r="261">
      <c r="A261" s="7" t="s">
        <v>177</v>
      </c>
      <c r="B261" s="6" t="str">
        <f t="shared" si="17"/>
        <v>Y</v>
      </c>
      <c r="C261" s="8"/>
      <c r="D261" s="9" t="str">
        <f>IFERROR(__xludf.DUMMYFUNCTION("IF(ISBLANK(A261),"""",SWITCH(IF(T261="""",0,COUNTA(SPLIT(T261,"" ""))),0,""Generic"",1,TRIM(T261),2,""Multicolor"",3,""Multicolor"",4,""Multicolor"",5,""Multicolor"",6,""Multicolor"",7,""Multicolor"",8,""Multicolor""))"),"Generic")</f>
        <v>Generic</v>
      </c>
      <c r="E261" s="1"/>
      <c r="F261" s="1"/>
      <c r="H261" s="10"/>
      <c r="I261" s="11"/>
      <c r="J261" s="11"/>
      <c r="K261" s="6" t="s">
        <v>39</v>
      </c>
      <c r="L261" s="6" t="s">
        <v>39</v>
      </c>
      <c r="Q261" s="7">
        <v>60</v>
      </c>
      <c r="R261" s="7">
        <v>50</v>
      </c>
      <c r="S261" s="1" t="str">
        <f t="shared" si="18"/>
        <v>False</v>
      </c>
      <c r="T261" s="6" t="str">
        <f>IFERROR(__xludf.DUMMYFUNCTION("CONCATENATE(if(REGEXMATCH(C261,""R""),"" Red"",""""),if(REGEXMATCH(C261,""O""),"" Orange"",""""),if(REGEXMATCH(C261,""Y""),"" Yellow"",""""),if(REGEXMATCH(C261,""G""),"" Green"",""""),if(REGEXMATCH(C261,""B""),"" Blue"",""""),if(REGEXMATCH(C261,""P""),"" "&amp;"Purple"",""""))"),"")</f>
        <v/>
      </c>
      <c r="U261" s="6" t="str">
        <f>IFERROR(__xludf.DUMMYFUNCTION("TRIM(CONCAT(""[right]"", REGEXREPLACE(C261, ""([ROYGBPXZC_]|1?[0-9])"", ""[img=119]res://textures/icons/$0.png[/img]\\n"")))"),"[right]")</f>
        <v>[right]</v>
      </c>
      <c r="V261" s="1" t="str">
        <f>IFERROR(__xludf.DUMMYFUNCTION("SUBSTITUTE(SUBSTITUTE(SUBSTITUTE(SUBSTITUTE(REGEXREPLACE(SUBSTITUTE(SUBSTITUTE(SUBSTITUTE(SUBSTITUTE(REGEXREPLACE(I261, ""(\[([ROYGBPTQUXZC_]|1?[0-9])\])"", ""[img=45]res://textures/icons/$2.png[/img]""),""--"",""—""),""-&gt;"",""•""),""~@"", CONCATENATE(""["&amp;"i]"",REGEXEXTRACT(B261,""^([\s\S]*),|$""),""[/i]"")),""~"", CONCATENATE(""[i]"",B261,""[/i]"")),""(\([\s\S]*?\))"",""[i][color=#34343A]$0[/color][/i]""), ""&lt;"", ""[""), ""&gt;"", ""]""), ""[/p][p]"", ""[font_size=15]\n\n[/font_size]""), ""[br/]"", ""\n"")"),"")</f>
        <v/>
      </c>
      <c r="W261" s="6" t="str">
        <f t="shared" si="19"/>
        <v>[i][/i]</v>
      </c>
      <c r="X261" s="1" t="str">
        <f t="shared" si="20"/>
        <v>0</v>
      </c>
      <c r="Y261" s="1"/>
    </row>
    <row r="262">
      <c r="A262" s="7" t="s">
        <v>177</v>
      </c>
      <c r="B262" s="6" t="str">
        <f t="shared" si="17"/>
        <v>Y</v>
      </c>
      <c r="C262" s="8"/>
      <c r="D262" s="9" t="str">
        <f>IFERROR(__xludf.DUMMYFUNCTION("IF(ISBLANK(A262),"""",SWITCH(IF(T262="""",0,COUNTA(SPLIT(T262,"" ""))),0,""Generic"",1,TRIM(T262),2,""Multicolor"",3,""Multicolor"",4,""Multicolor"",5,""Multicolor"",6,""Multicolor"",7,""Multicolor"",8,""Multicolor""))"),"Generic")</f>
        <v>Generic</v>
      </c>
      <c r="E262" s="1"/>
      <c r="F262" s="1"/>
      <c r="H262" s="10"/>
      <c r="I262" s="11"/>
      <c r="J262" s="11"/>
      <c r="K262" s="6" t="s">
        <v>39</v>
      </c>
      <c r="L262" s="6" t="s">
        <v>39</v>
      </c>
      <c r="Q262" s="7">
        <v>60</v>
      </c>
      <c r="R262" s="7">
        <v>50</v>
      </c>
      <c r="S262" s="1" t="str">
        <f t="shared" si="18"/>
        <v>False</v>
      </c>
      <c r="T262" s="6" t="str">
        <f>IFERROR(__xludf.DUMMYFUNCTION("CONCATENATE(if(REGEXMATCH(C262,""R""),"" Red"",""""),if(REGEXMATCH(C262,""O""),"" Orange"",""""),if(REGEXMATCH(C262,""Y""),"" Yellow"",""""),if(REGEXMATCH(C262,""G""),"" Green"",""""),if(REGEXMATCH(C262,""B""),"" Blue"",""""),if(REGEXMATCH(C262,""P""),"" "&amp;"Purple"",""""))"),"")</f>
        <v/>
      </c>
      <c r="U262" s="6" t="str">
        <f>IFERROR(__xludf.DUMMYFUNCTION("TRIM(CONCAT(""[right]"", REGEXREPLACE(C262, ""([ROYGBPXZC_]|1?[0-9])"", ""[img=119]res://textures/icons/$0.png[/img]\\n"")))"),"[right]")</f>
        <v>[right]</v>
      </c>
      <c r="V262" s="1" t="str">
        <f>IFERROR(__xludf.DUMMYFUNCTION("SUBSTITUTE(SUBSTITUTE(SUBSTITUTE(SUBSTITUTE(REGEXREPLACE(SUBSTITUTE(SUBSTITUTE(SUBSTITUTE(SUBSTITUTE(REGEXREPLACE(I262, ""(\[([ROYGBPTQUXZC_]|1?[0-9])\])"", ""[img=45]res://textures/icons/$2.png[/img]""),""--"",""—""),""-&gt;"",""•""),""~@"", CONCATENATE(""["&amp;"i]"",REGEXEXTRACT(B262,""^([\s\S]*),|$""),""[/i]"")),""~"", CONCATENATE(""[i]"",B262,""[/i]"")),""(\([\s\S]*?\))"",""[i][color=#34343A]$0[/color][/i]""), ""&lt;"", ""[""), ""&gt;"", ""]""), ""[/p][p]"", ""[font_size=15]\n\n[/font_size]""), ""[br/]"", ""\n"")"),"")</f>
        <v/>
      </c>
      <c r="W262" s="6" t="str">
        <f t="shared" si="19"/>
        <v>[i][/i]</v>
      </c>
      <c r="X262" s="1" t="str">
        <f t="shared" si="20"/>
        <v>0</v>
      </c>
      <c r="Y262" s="1"/>
    </row>
    <row r="263">
      <c r="A263" s="7" t="s">
        <v>75</v>
      </c>
      <c r="B263" s="6" t="str">
        <f t="shared" si="17"/>
        <v>U</v>
      </c>
      <c r="C263" s="8"/>
      <c r="D263" s="9" t="str">
        <f>IFERROR(__xludf.DUMMYFUNCTION("IF(ISBLANK(A263),"""",SWITCH(IF(T263="""",0,COUNTA(SPLIT(T263,"" ""))),0,""Generic"",1,TRIM(T263),2,""Multicolor"",3,""Multicolor"",4,""Multicolor"",5,""Multicolor"",6,""Multicolor"",7,""Multicolor"",8,""Multicolor""))"),"Generic")</f>
        <v>Generic</v>
      </c>
      <c r="E263" s="1"/>
      <c r="F263" s="1"/>
      <c r="H263" s="10"/>
      <c r="I263" s="11"/>
      <c r="J263" s="11"/>
      <c r="K263" s="6" t="s">
        <v>39</v>
      </c>
      <c r="L263" s="6" t="s">
        <v>39</v>
      </c>
      <c r="Q263" s="7">
        <v>60</v>
      </c>
      <c r="R263" s="7">
        <v>50</v>
      </c>
      <c r="S263" s="1" t="str">
        <f t="shared" si="18"/>
        <v>False</v>
      </c>
      <c r="T263" s="6" t="str">
        <f>IFERROR(__xludf.DUMMYFUNCTION("CONCATENATE(if(REGEXMATCH(C263,""R""),"" Red"",""""),if(REGEXMATCH(C263,""O""),"" Orange"",""""),if(REGEXMATCH(C263,""Y""),"" Yellow"",""""),if(REGEXMATCH(C263,""G""),"" Green"",""""),if(REGEXMATCH(C263,""B""),"" Blue"",""""),if(REGEXMATCH(C263,""P""),"" "&amp;"Purple"",""""))"),"")</f>
        <v/>
      </c>
      <c r="U263" s="6" t="str">
        <f>IFERROR(__xludf.DUMMYFUNCTION("TRIM(CONCAT(""[right]"", REGEXREPLACE(C263, ""([ROYGBPXZC_]|1?[0-9])"", ""[img=119]res://textures/icons/$0.png[/img]\\n"")))"),"[right]")</f>
        <v>[right]</v>
      </c>
      <c r="V263" s="1" t="str">
        <f>IFERROR(__xludf.DUMMYFUNCTION("SUBSTITUTE(SUBSTITUTE(SUBSTITUTE(SUBSTITUTE(REGEXREPLACE(SUBSTITUTE(SUBSTITUTE(SUBSTITUTE(SUBSTITUTE(REGEXREPLACE(I263, ""(\[([ROYGBPTQUXZC_]|1?[0-9])\])"", ""[img=45]res://textures/icons/$2.png[/img]""),""--"",""—""),""-&gt;"",""•""),""~@"", CONCATENATE(""["&amp;"i]"",REGEXEXTRACT(B263,""^([\s\S]*),|$""),""[/i]"")),""~"", CONCATENATE(""[i]"",B263,""[/i]"")),""(\([\s\S]*?\))"",""[i][color=#34343A]$0[/color][/i]""), ""&lt;"", ""[""), ""&gt;"", ""]""), ""[/p][p]"", ""[font_size=15]\n\n[/font_size]""), ""[br/]"", ""\n"")"),"")</f>
        <v/>
      </c>
      <c r="W263" s="6" t="str">
        <f t="shared" si="19"/>
        <v>[i][/i]</v>
      </c>
      <c r="X263" s="1" t="str">
        <f t="shared" si="20"/>
        <v>0</v>
      </c>
      <c r="Y263" s="1"/>
    </row>
    <row r="264">
      <c r="A264" s="7" t="s">
        <v>75</v>
      </c>
      <c r="B264" s="6" t="str">
        <f t="shared" si="17"/>
        <v>U</v>
      </c>
      <c r="C264" s="8"/>
      <c r="D264" s="9" t="str">
        <f>IFERROR(__xludf.DUMMYFUNCTION("IF(ISBLANK(A264),"""",SWITCH(IF(T264="""",0,COUNTA(SPLIT(T264,"" ""))),0,""Generic"",1,TRIM(T264),2,""Multicolor"",3,""Multicolor"",4,""Multicolor"",5,""Multicolor"",6,""Multicolor"",7,""Multicolor"",8,""Multicolor""))"),"Generic")</f>
        <v>Generic</v>
      </c>
      <c r="E264" s="1"/>
      <c r="F264" s="1"/>
      <c r="H264" s="10"/>
      <c r="I264" s="11" t="s">
        <v>449</v>
      </c>
      <c r="J264" s="11"/>
      <c r="K264" s="6" t="s">
        <v>39</v>
      </c>
      <c r="L264" s="6" t="s">
        <v>39</v>
      </c>
      <c r="Q264" s="7">
        <v>60</v>
      </c>
      <c r="R264" s="7">
        <v>50</v>
      </c>
      <c r="S264" s="1" t="str">
        <f t="shared" si="18"/>
        <v>False</v>
      </c>
      <c r="T264" s="6" t="str">
        <f>IFERROR(__xludf.DUMMYFUNCTION("CONCATENATE(if(REGEXMATCH(C264,""R""),"" Red"",""""),if(REGEXMATCH(C264,""O""),"" Orange"",""""),if(REGEXMATCH(C264,""Y""),"" Yellow"",""""),if(REGEXMATCH(C264,""G""),"" Green"",""""),if(REGEXMATCH(C264,""B""),"" Blue"",""""),if(REGEXMATCH(C264,""P""),"" "&amp;"Purple"",""""))"),"")</f>
        <v/>
      </c>
      <c r="U264" s="6" t="str">
        <f>IFERROR(__xludf.DUMMYFUNCTION("TRIM(CONCAT(""[right]"", REGEXREPLACE(C264, ""([ROYGBPXZC_]|1?[0-9])"", ""[img=119]res://textures/icons/$0.png[/img]\\n"")))"),"[right]")</f>
        <v>[right]</v>
      </c>
      <c r="V264" s="1" t="str">
        <f>IFERROR(__xludf.DUMMYFUNCTION("SUBSTITUTE(SUBSTITUTE(SUBSTITUTE(SUBSTITUTE(REGEXREPLACE(SUBSTITUTE(SUBSTITUTE(SUBSTITUTE(SUBSTITUTE(REGEXREPLACE(I264, ""(\[([ROYGBPTQUXZC_]|1?[0-9])\])"", ""[img=45]res://textures/icons/$2.png[/img]""),""--"",""—""),""-&gt;"",""•""),""~@"", CONCATENATE(""["&amp;"i]"",REGEXEXTRACT(B264,""^([\s\S]*),|$""),""[/i]"")),""~"", CONCATENATE(""[i]"",B264,""[/i]"")),""(\([\s\S]*?\))"",""[i][color=#34343A]$0[/color][/i]""), ""&lt;"", ""[""), ""&gt;"", ""]""), ""[/p][p]"", ""[font_size=15]\n\n[/font_size]""), ""[br/]"", ""\n"")"),"prepare, exchange, append, go second, drawn from damage")</f>
        <v xml:space="preserve">prepare, exchange, append, go second, drawn from damage</v>
      </c>
      <c r="W264" s="6" t="str">
        <f t="shared" si="19"/>
        <v>[i][/i]</v>
      </c>
      <c r="X264" s="1" t="str">
        <f t="shared" si="20"/>
        <v>0</v>
      </c>
      <c r="Y264" s="1"/>
    </row>
    <row r="265">
      <c r="A265" s="7" t="s">
        <v>75</v>
      </c>
      <c r="B265" s="6" t="str">
        <f t="shared" si="17"/>
        <v>U</v>
      </c>
      <c r="C265" s="8"/>
      <c r="D265" s="9" t="str">
        <f>IFERROR(__xludf.DUMMYFUNCTION("IF(ISBLANK(A265),"""",SWITCH(IF(T265="""",0,COUNTA(SPLIT(T265,"" ""))),0,""Generic"",1,TRIM(T265),2,""Multicolor"",3,""Multicolor"",4,""Multicolor"",5,""Multicolor"",6,""Multicolor"",7,""Multicolor"",8,""Multicolor""))"),"Generic")</f>
        <v>Generic</v>
      </c>
      <c r="E265" s="1"/>
      <c r="F265" s="1"/>
      <c r="H265" s="10"/>
      <c r="I265" s="11"/>
      <c r="J265" s="11"/>
      <c r="K265" s="6" t="s">
        <v>39</v>
      </c>
      <c r="L265" s="6" t="s">
        <v>39</v>
      </c>
      <c r="Q265" s="7">
        <v>60</v>
      </c>
      <c r="R265" s="7">
        <v>50</v>
      </c>
      <c r="S265" s="1" t="str">
        <f t="shared" si="18"/>
        <v>False</v>
      </c>
      <c r="T265" s="6" t="str">
        <f>IFERROR(__xludf.DUMMYFUNCTION("CONCATENATE(if(REGEXMATCH(C265,""R""),"" Red"",""""),if(REGEXMATCH(C265,""O""),"" Orange"",""""),if(REGEXMATCH(C265,""Y""),"" Yellow"",""""),if(REGEXMATCH(C265,""G""),"" Green"",""""),if(REGEXMATCH(C265,""B""),"" Blue"",""""),if(REGEXMATCH(C265,""P""),"" "&amp;"Purple"",""""))"),"")</f>
        <v/>
      </c>
      <c r="U265" s="6" t="str">
        <f>IFERROR(__xludf.DUMMYFUNCTION("TRIM(CONCAT(""[right]"", REGEXREPLACE(C265, ""([ROYGBPXZC_]|1?[0-9])"", ""[img=119]res://textures/icons/$0.png[/img]\\n"")))"),"[right]")</f>
        <v>[right]</v>
      </c>
      <c r="V265" s="1" t="str">
        <f>IFERROR(__xludf.DUMMYFUNCTION("SUBSTITUTE(SUBSTITUTE(SUBSTITUTE(SUBSTITUTE(REGEXREPLACE(SUBSTITUTE(SUBSTITUTE(SUBSTITUTE(SUBSTITUTE(REGEXREPLACE(I265, ""(\[([ROYGBPTQUXZC_]|1?[0-9])\])"", ""[img=45]res://textures/icons/$2.png[/img]""),""--"",""—""),""-&gt;"",""•""),""~@"", CONCATENATE(""["&amp;"i]"",REGEXEXTRACT(B265,""^([\s\S]*),|$""),""[/i]"")),""~"", CONCATENATE(""[i]"",B265,""[/i]"")),""(\([\s\S]*?\))"",""[i][color=#34343A]$0[/color][/i]""), ""&lt;"", ""[""), ""&gt;"", ""]""), ""[/p][p]"", ""[font_size=15]\n\n[/font_size]""), ""[br/]"", ""\n"")"),"")</f>
        <v/>
      </c>
      <c r="W265" s="6" t="str">
        <f t="shared" si="19"/>
        <v>[i][/i]</v>
      </c>
      <c r="X265" s="1" t="str">
        <f t="shared" si="20"/>
        <v>0</v>
      </c>
      <c r="Y265" s="1"/>
    </row>
    <row r="266">
      <c r="A266" s="7" t="s">
        <v>75</v>
      </c>
      <c r="B266" s="6" t="str">
        <f t="shared" si="17"/>
        <v>U</v>
      </c>
      <c r="C266" s="8"/>
      <c r="D266" s="9" t="str">
        <f>IFERROR(__xludf.DUMMYFUNCTION("IF(ISBLANK(A266),"""",SWITCH(IF(T266="""",0,COUNTA(SPLIT(T266,"" ""))),0,""Generic"",1,TRIM(T266),2,""Multicolor"",3,""Multicolor"",4,""Multicolor"",5,""Multicolor"",6,""Multicolor"",7,""Multicolor"",8,""Multicolor""))"),"Generic")</f>
        <v>Generic</v>
      </c>
      <c r="E266" s="1"/>
      <c r="F266" s="1"/>
      <c r="H266" s="10"/>
      <c r="I266" s="11"/>
      <c r="J266" s="11"/>
      <c r="K266" s="6" t="s">
        <v>39</v>
      </c>
      <c r="L266" s="6" t="s">
        <v>39</v>
      </c>
      <c r="Q266" s="7">
        <v>60</v>
      </c>
      <c r="R266" s="7">
        <v>50</v>
      </c>
      <c r="S266" s="1" t="str">
        <f t="shared" si="18"/>
        <v>False</v>
      </c>
      <c r="T266" s="6" t="str">
        <f>IFERROR(__xludf.DUMMYFUNCTION("CONCATENATE(if(REGEXMATCH(C266,""R""),"" Red"",""""),if(REGEXMATCH(C266,""O""),"" Orange"",""""),if(REGEXMATCH(C266,""Y""),"" Yellow"",""""),if(REGEXMATCH(C266,""G""),"" Green"",""""),if(REGEXMATCH(C266,""B""),"" Blue"",""""),if(REGEXMATCH(C266,""P""),"" "&amp;"Purple"",""""))"),"")</f>
        <v/>
      </c>
      <c r="U266" s="6" t="str">
        <f>IFERROR(__xludf.DUMMYFUNCTION("TRIM(CONCAT(""[right]"", REGEXREPLACE(C266, ""([ROYGBPXZC_]|1?[0-9])"", ""[img=119]res://textures/icons/$0.png[/img]\\n"")))"),"[right]")</f>
        <v>[right]</v>
      </c>
      <c r="V266" s="1" t="str">
        <f>IFERROR(__xludf.DUMMYFUNCTION("SUBSTITUTE(SUBSTITUTE(SUBSTITUTE(SUBSTITUTE(REGEXREPLACE(SUBSTITUTE(SUBSTITUTE(SUBSTITUTE(SUBSTITUTE(REGEXREPLACE(I266, ""(\[([ROYGBPTQUXZC_]|1?[0-9])\])"", ""[img=45]res://textures/icons/$2.png[/img]""),""--"",""—""),""-&gt;"",""•""),""~@"", CONCATENATE(""["&amp;"i]"",REGEXEXTRACT(B266,""^([\s\S]*),|$""),""[/i]"")),""~"", CONCATENATE(""[i]"",B266,""[/i]"")),""(\([\s\S]*?\))"",""[i][color=#34343A]$0[/color][/i]""), ""&lt;"", ""[""), ""&gt;"", ""]""), ""[/p][p]"", ""[font_size=15]\n\n[/font_size]""), ""[br/]"", ""\n"")"),"")</f>
        <v/>
      </c>
      <c r="W266" s="6" t="str">
        <f t="shared" si="19"/>
        <v>[i][/i]</v>
      </c>
      <c r="X266" s="1" t="str">
        <f t="shared" si="20"/>
        <v>0</v>
      </c>
      <c r="Y266" s="1"/>
    </row>
    <row r="267">
      <c r="A267" s="7" t="s">
        <v>75</v>
      </c>
      <c r="B267" s="6" t="str">
        <f t="shared" si="17"/>
        <v>U</v>
      </c>
      <c r="C267" s="8"/>
      <c r="D267" s="9" t="str">
        <f>IFERROR(__xludf.DUMMYFUNCTION("IF(ISBLANK(A267),"""",SWITCH(IF(T267="""",0,COUNTA(SPLIT(T267,"" ""))),0,""Generic"",1,TRIM(T267),2,""Multicolor"",3,""Multicolor"",4,""Multicolor"",5,""Multicolor"",6,""Multicolor"",7,""Multicolor"",8,""Multicolor""))"),"Generic")</f>
        <v>Generic</v>
      </c>
      <c r="E267" s="1"/>
      <c r="F267" s="1"/>
      <c r="H267" s="10"/>
      <c r="I267" s="11"/>
      <c r="J267" s="11"/>
      <c r="K267" s="6" t="s">
        <v>39</v>
      </c>
      <c r="L267" s="6" t="s">
        <v>39</v>
      </c>
      <c r="Q267" s="7">
        <v>60</v>
      </c>
      <c r="R267" s="7">
        <v>50</v>
      </c>
      <c r="S267" s="1" t="str">
        <f t="shared" si="18"/>
        <v>False</v>
      </c>
      <c r="T267" s="6" t="str">
        <f>IFERROR(__xludf.DUMMYFUNCTION("CONCATENATE(if(REGEXMATCH(C267,""R""),"" Red"",""""),if(REGEXMATCH(C267,""O""),"" Orange"",""""),if(REGEXMATCH(C267,""Y""),"" Yellow"",""""),if(REGEXMATCH(C267,""G""),"" Green"",""""),if(REGEXMATCH(C267,""B""),"" Blue"",""""),if(REGEXMATCH(C267,""P""),"" "&amp;"Purple"",""""))"),"")</f>
        <v/>
      </c>
      <c r="U267" s="6" t="str">
        <f>IFERROR(__xludf.DUMMYFUNCTION("TRIM(CONCAT(""[right]"", REGEXREPLACE(C267, ""([ROYGBPXZC_]|1?[0-9])"", ""[img=119]res://textures/icons/$0.png[/img]\\n"")))"),"[right]")</f>
        <v>[right]</v>
      </c>
      <c r="V267" s="1" t="str">
        <f>IFERROR(__xludf.DUMMYFUNCTION("SUBSTITUTE(SUBSTITUTE(SUBSTITUTE(SUBSTITUTE(REGEXREPLACE(SUBSTITUTE(SUBSTITUTE(SUBSTITUTE(SUBSTITUTE(REGEXREPLACE(I267, ""(\[([ROYGBPTQUXZC_]|1?[0-9])\])"", ""[img=45]res://textures/icons/$2.png[/img]""),""--"",""—""),""-&gt;"",""•""),""~@"", CONCATENATE(""["&amp;"i]"",REGEXEXTRACT(B267,""^([\s\S]*),|$""),""[/i]"")),""~"", CONCATENATE(""[i]"",B267,""[/i]"")),""(\([\s\S]*?\))"",""[i][color=#34343A]$0[/color][/i]""), ""&lt;"", ""[""), ""&gt;"", ""]""), ""[/p][p]"", ""[font_size=15]\n\n[/font_size]""), ""[br/]"", ""\n"")"),"")</f>
        <v/>
      </c>
      <c r="W267" s="6" t="str">
        <f t="shared" si="19"/>
        <v>[i][/i]</v>
      </c>
      <c r="X267" s="1" t="str">
        <f t="shared" si="20"/>
        <v>0</v>
      </c>
      <c r="Y267" s="1"/>
    </row>
    <row r="268">
      <c r="A268" s="7" t="s">
        <v>75</v>
      </c>
      <c r="B268" s="6" t="str">
        <f t="shared" si="17"/>
        <v>U</v>
      </c>
      <c r="C268" s="8"/>
      <c r="D268" s="9" t="str">
        <f>IFERROR(__xludf.DUMMYFUNCTION("IF(ISBLANK(A268),"""",SWITCH(IF(T268="""",0,COUNTA(SPLIT(T268,"" ""))),0,""Generic"",1,TRIM(T268),2,""Multicolor"",3,""Multicolor"",4,""Multicolor"",5,""Multicolor"",6,""Multicolor"",7,""Multicolor"",8,""Multicolor""))"),"Generic")</f>
        <v>Generic</v>
      </c>
      <c r="E268" s="1"/>
      <c r="F268" s="1"/>
      <c r="H268" s="10"/>
      <c r="I268" s="11"/>
      <c r="J268" s="11"/>
      <c r="K268" s="6" t="s">
        <v>39</v>
      </c>
      <c r="L268" s="6" t="s">
        <v>39</v>
      </c>
      <c r="Q268" s="7">
        <v>60</v>
      </c>
      <c r="R268" s="7">
        <v>50</v>
      </c>
      <c r="S268" s="1" t="str">
        <f t="shared" si="18"/>
        <v>False</v>
      </c>
      <c r="T268" s="6" t="str">
        <f>IFERROR(__xludf.DUMMYFUNCTION("CONCATENATE(if(REGEXMATCH(C268,""R""),"" Red"",""""),if(REGEXMATCH(C268,""O""),"" Orange"",""""),if(REGEXMATCH(C268,""Y""),"" Yellow"",""""),if(REGEXMATCH(C268,""G""),"" Green"",""""),if(REGEXMATCH(C268,""B""),"" Blue"",""""),if(REGEXMATCH(C268,""P""),"" "&amp;"Purple"",""""))"),"")</f>
        <v/>
      </c>
      <c r="U268" s="6" t="str">
        <f>IFERROR(__xludf.DUMMYFUNCTION("TRIM(CONCAT(""[right]"", REGEXREPLACE(C268, ""([ROYGBPXZC_]|1?[0-9])"", ""[img=119]res://textures/icons/$0.png[/img]\\n"")))"),"[right]")</f>
        <v>[right]</v>
      </c>
      <c r="V268" s="1" t="str">
        <f>IFERROR(__xludf.DUMMYFUNCTION("SUBSTITUTE(SUBSTITUTE(SUBSTITUTE(SUBSTITUTE(REGEXREPLACE(SUBSTITUTE(SUBSTITUTE(SUBSTITUTE(SUBSTITUTE(REGEXREPLACE(I268, ""(\[([ROYGBPTQUXZC_]|1?[0-9])\])"", ""[img=45]res://textures/icons/$2.png[/img]""),""--"",""—""),""-&gt;"",""•""),""~@"", CONCATENATE(""["&amp;"i]"",REGEXEXTRACT(B268,""^([\s\S]*),|$""),""[/i]"")),""~"", CONCATENATE(""[i]"",B268,""[/i]"")),""(\([\s\S]*?\))"",""[i][color=#34343A]$0[/color][/i]""), ""&lt;"", ""[""), ""&gt;"", ""]""), ""[/p][p]"", ""[font_size=15]\n\n[/font_size]""), ""[br/]"", ""\n"")"),"")</f>
        <v/>
      </c>
      <c r="W268" s="6" t="str">
        <f t="shared" si="19"/>
        <v>[i][/i]</v>
      </c>
      <c r="X268" s="1" t="str">
        <f t="shared" si="20"/>
        <v>0</v>
      </c>
      <c r="Y268" s="1"/>
    </row>
    <row r="269">
      <c r="A269" s="7" t="s">
        <v>450</v>
      </c>
      <c r="B269" s="7" t="s">
        <v>451</v>
      </c>
      <c r="C269" s="12" t="s">
        <v>392</v>
      </c>
      <c r="D269" s="9" t="str">
        <f>IFERROR(__xludf.DUMMYFUNCTION("IF(ISBLANK(A269),"""",SWITCH(IF(T269="""",0,COUNTA(SPLIT(T269,"" ""))),0,""Generic"",1,TRIM(T269),2,""Multicolor"",3,""Multicolor"",4,""Multicolor"",5,""Multicolor"",6,""Multicolor"",7,""Multicolor"",8,""Multicolor""))"),"Blue")</f>
        <v>Blue</v>
      </c>
      <c r="E269" s="1" t="s">
        <v>49</v>
      </c>
      <c r="F269" s="1" t="s">
        <v>26</v>
      </c>
      <c r="G269" s="7" t="s">
        <v>393</v>
      </c>
      <c r="H269" s="10" t="s">
        <v>153</v>
      </c>
      <c r="I269" s="11" t="s">
        <v>452</v>
      </c>
      <c r="J269" s="11"/>
      <c r="K269" s="7">
        <v>0</v>
      </c>
      <c r="L269" s="7">
        <v>5</v>
      </c>
      <c r="Q269" s="7">
        <v>45</v>
      </c>
      <c r="R269" s="7">
        <v>50</v>
      </c>
      <c r="S269" s="1" t="str">
        <f t="shared" si="18"/>
        <v>True</v>
      </c>
      <c r="T269" s="6" t="str">
        <f>IFERROR(__xludf.DUMMYFUNCTION("CONCATENATE(if(REGEXMATCH(C269,""R""),"" Red"",""""),if(REGEXMATCH(C269,""O""),"" Orange"",""""),if(REGEXMATCH(C269,""Y""),"" Yellow"",""""),if(REGEXMATCH(C269,""G""),"" Green"",""""),if(REGEXMATCH(C269,""B""),"" Blue"",""""),if(REGEXMATCH(C269,""P""),"" "&amp;"Purple"",""""))")," Blue")</f>
        <v>Blue</v>
      </c>
      <c r="U269" s="6" t="str">
        <f>IFERROR(__xludf.DUMMYFUNCTION("TRIM(CONCAT(""[right]"", REGEXREPLACE(C269, ""([ROYGBPXZC_]|1?[0-9])"", ""[img=119]res://textures/icons/$0.png[/img]\\n"")))"),"[right][img=119]res://textures/icons/B.png[/img]\n")</f>
        <v>[right][img=119]res://textures/icons/B.png[/img]\n</v>
      </c>
      <c r="V269" s="1" t="str">
        <f>IFERROR(__xludf.DUMMYFUNCTION("SUBSTITUTE(SUBSTITUTE(SUBSTITUTE(SUBSTITUTE(REGEXREPLACE(SUBSTITUTE(SUBSTITUTE(SUBSTITUTE(SUBSTITUTE(REGEXREPLACE(I269, ""(\[([ROYGBPTQUXZC_]|1?[0-9])\])"", ""[img=45]res://textures/icons/$2.png[/img]""),""--"",""—""),""-&gt;"",""•""),""~@"", CONCATENATE(""["&amp;"i]"",REGEXEXTRACT(B269,""^([\s\S]*),|$""),""[/i]"")),""~"", CONCATENATE(""[i]"",B269,""[/i]"")),""(\([\s\S]*?\))"",""[i][color=#34343A]$0[/color][/i]""), ""&lt;"", ""[""), ""&gt;"", ""]""), ""[/p][p]"", ""[font_size=15]\n\n[/font_size]""), ""[br/]"", ""\n"")"),"[center]Whenever another combatant enters the battlefield, your commander gains 1 loyalty.[/center]")</f>
        <v xml:space="preserve">[center]Whenever another combatant enters the battlefield, your commander gains 1 loyalty.[/center]</v>
      </c>
      <c r="W269" s="6" t="str">
        <f t="shared" si="19"/>
        <v>[i]Asset[/i]</v>
      </c>
      <c r="X269" s="1" t="str">
        <f t="shared" si="20"/>
        <v>RS_BC_001</v>
      </c>
      <c r="Y269" s="1"/>
    </row>
    <row r="270">
      <c r="A270" s="7" t="s">
        <v>76</v>
      </c>
      <c r="B270" s="6" t="str">
        <f t="shared" si="17"/>
        <v>C</v>
      </c>
      <c r="C270" s="8"/>
      <c r="D270" s="9" t="str">
        <f>IFERROR(__xludf.DUMMYFUNCTION("IF(ISBLANK(A270),"""",SWITCH(IF(T270="""",0,COUNTA(SPLIT(T270,"" ""))),0,""Generic"",1,TRIM(T270),2,""Multicolor"",3,""Multicolor"",4,""Multicolor"",5,""Multicolor"",6,""Multicolor"",7,""Multicolor"",8,""Multicolor""))"),"Generic")</f>
        <v>Generic</v>
      </c>
      <c r="E270" s="1"/>
      <c r="F270" s="1"/>
      <c r="H270" s="10"/>
      <c r="I270" s="11"/>
      <c r="J270" s="11"/>
      <c r="K270" s="6" t="s">
        <v>39</v>
      </c>
      <c r="L270" s="6" t="s">
        <v>39</v>
      </c>
      <c r="Q270" s="7">
        <v>60</v>
      </c>
      <c r="R270" s="7">
        <v>50</v>
      </c>
      <c r="S270" s="1" t="str">
        <f t="shared" si="18"/>
        <v>False</v>
      </c>
      <c r="T270" s="6" t="str">
        <f>IFERROR(__xludf.DUMMYFUNCTION("CONCATENATE(if(REGEXMATCH(C270,""R""),"" Red"",""""),if(REGEXMATCH(C270,""O""),"" Orange"",""""),if(REGEXMATCH(C270,""Y""),"" Yellow"",""""),if(REGEXMATCH(C270,""G""),"" Green"",""""),if(REGEXMATCH(C270,""B""),"" Blue"",""""),if(REGEXMATCH(C270,""P""),"" "&amp;"Purple"",""""))"),"")</f>
        <v/>
      </c>
      <c r="U270" s="6" t="str">
        <f>IFERROR(__xludf.DUMMYFUNCTION("TRIM(CONCAT(""[right]"", REGEXREPLACE(C270, ""([ROYGBPXZC_]|1?[0-9])"", ""[img=119]res://textures/icons/$0.png[/img]\\n"")))"),"[right]")</f>
        <v>[right]</v>
      </c>
      <c r="V270" s="1" t="str">
        <f>IFERROR(__xludf.DUMMYFUNCTION("SUBSTITUTE(SUBSTITUTE(SUBSTITUTE(SUBSTITUTE(REGEXREPLACE(SUBSTITUTE(SUBSTITUTE(SUBSTITUTE(SUBSTITUTE(REGEXREPLACE(I270, ""(\[([ROYGBPTQUXZC_]|1?[0-9])\])"", ""[img=45]res://textures/icons/$2.png[/img]""),""--"",""—""),""-&gt;"",""•""),""~@"", CONCATENATE(""["&amp;"i]"",REGEXEXTRACT(B270,""^([\s\S]*),|$""),""[/i]"")),""~"", CONCATENATE(""[i]"",B270,""[/i]"")),""(\([\s\S]*?\))"",""[i][color=#34343A]$0[/color][/i]""), ""&lt;"", ""[""), ""&gt;"", ""]""), ""[/p][p]"", ""[font_size=15]\n\n[/font_size]""), ""[br/]"", ""\n"")"),"")</f>
        <v/>
      </c>
      <c r="W270" s="6" t="str">
        <f t="shared" si="19"/>
        <v>[i][/i]</v>
      </c>
      <c r="X270" s="1" t="str">
        <f t="shared" si="20"/>
        <v>0</v>
      </c>
      <c r="Y270" s="1"/>
    </row>
    <row r="271">
      <c r="A271" s="7" t="s">
        <v>76</v>
      </c>
      <c r="B271" s="6" t="str">
        <f t="shared" si="17"/>
        <v>C</v>
      </c>
      <c r="C271" s="8"/>
      <c r="D271" s="9" t="str">
        <f>IFERROR(__xludf.DUMMYFUNCTION("IF(ISBLANK(A271),"""",SWITCH(IF(T271="""",0,COUNTA(SPLIT(T271,"" ""))),0,""Generic"",1,TRIM(T271),2,""Multicolor"",3,""Multicolor"",4,""Multicolor"",5,""Multicolor"",6,""Multicolor"",7,""Multicolor"",8,""Multicolor""))"),"Generic")</f>
        <v>Generic</v>
      </c>
      <c r="E271" s="1"/>
      <c r="F271" s="1"/>
      <c r="H271" s="10"/>
      <c r="I271" s="11"/>
      <c r="J271" s="11"/>
      <c r="K271" s="6" t="s">
        <v>39</v>
      </c>
      <c r="L271" s="6" t="s">
        <v>39</v>
      </c>
      <c r="Q271" s="7">
        <v>60</v>
      </c>
      <c r="R271" s="7">
        <v>50</v>
      </c>
      <c r="S271" s="1" t="str">
        <f t="shared" si="18"/>
        <v>False</v>
      </c>
      <c r="T271" s="6" t="str">
        <f>IFERROR(__xludf.DUMMYFUNCTION("CONCATENATE(if(REGEXMATCH(C271,""R""),"" Red"",""""),if(REGEXMATCH(C271,""O""),"" Orange"",""""),if(REGEXMATCH(C271,""Y""),"" Yellow"",""""),if(REGEXMATCH(C271,""G""),"" Green"",""""),if(REGEXMATCH(C271,""B""),"" Blue"",""""),if(REGEXMATCH(C271,""P""),"" "&amp;"Purple"",""""))"),"")</f>
        <v/>
      </c>
      <c r="U271" s="6" t="str">
        <f>IFERROR(__xludf.DUMMYFUNCTION("TRIM(CONCAT(""[right]"", REGEXREPLACE(C271, ""([ROYGBPXZC_]|1?[0-9])"", ""[img=119]res://textures/icons/$0.png[/img]\\n"")))"),"[right]")</f>
        <v>[right]</v>
      </c>
      <c r="V271" s="1" t="str">
        <f>IFERROR(__xludf.DUMMYFUNCTION("SUBSTITUTE(SUBSTITUTE(SUBSTITUTE(SUBSTITUTE(REGEXREPLACE(SUBSTITUTE(SUBSTITUTE(SUBSTITUTE(SUBSTITUTE(REGEXREPLACE(I271, ""(\[([ROYGBPTQUXZC_]|1?[0-9])\])"", ""[img=45]res://textures/icons/$2.png[/img]""),""--"",""—""),""-&gt;"",""•""),""~@"", CONCATENATE(""["&amp;"i]"",REGEXEXTRACT(B271,""^([\s\S]*),|$""),""[/i]"")),""~"", CONCATENATE(""[i]"",B271,""[/i]"")),""(\([\s\S]*?\))"",""[i][color=#34343A]$0[/color][/i]""), ""&lt;"", ""[""), ""&gt;"", ""]""), ""[/p][p]"", ""[font_size=15]\n\n[/font_size]""), ""[br/]"", ""\n"")"),"")</f>
        <v/>
      </c>
      <c r="W271" s="6" t="str">
        <f t="shared" si="19"/>
        <v>[i][/i]</v>
      </c>
      <c r="X271" s="1" t="str">
        <f t="shared" si="20"/>
        <v>0</v>
      </c>
      <c r="Y271" s="1"/>
    </row>
    <row r="272">
      <c r="A272" s="7" t="s">
        <v>76</v>
      </c>
      <c r="B272" s="6" t="str">
        <f t="shared" si="17"/>
        <v>C</v>
      </c>
      <c r="C272" s="8"/>
      <c r="D272" s="9" t="str">
        <f>IFERROR(__xludf.DUMMYFUNCTION("IF(ISBLANK(A272),"""",SWITCH(IF(T272="""",0,COUNTA(SPLIT(T272,"" ""))),0,""Generic"",1,TRIM(T272),2,""Multicolor"",3,""Multicolor"",4,""Multicolor"",5,""Multicolor"",6,""Multicolor"",7,""Multicolor"",8,""Multicolor""))"),"Generic")</f>
        <v>Generic</v>
      </c>
      <c r="E272" s="1"/>
      <c r="F272" s="1"/>
      <c r="H272" s="10"/>
      <c r="I272" s="11"/>
      <c r="J272" s="11"/>
      <c r="K272" s="6" t="s">
        <v>39</v>
      </c>
      <c r="L272" s="6" t="s">
        <v>39</v>
      </c>
      <c r="Q272" s="7">
        <v>60</v>
      </c>
      <c r="R272" s="7">
        <v>50</v>
      </c>
      <c r="S272" s="1" t="str">
        <f t="shared" si="18"/>
        <v>False</v>
      </c>
      <c r="T272" s="6" t="str">
        <f>IFERROR(__xludf.DUMMYFUNCTION("CONCATENATE(if(REGEXMATCH(C272,""R""),"" Red"",""""),if(REGEXMATCH(C272,""O""),"" Orange"",""""),if(REGEXMATCH(C272,""Y""),"" Yellow"",""""),if(REGEXMATCH(C272,""G""),"" Green"",""""),if(REGEXMATCH(C272,""B""),"" Blue"",""""),if(REGEXMATCH(C272,""P""),"" "&amp;"Purple"",""""))"),"")</f>
        <v/>
      </c>
      <c r="U272" s="6" t="str">
        <f>IFERROR(__xludf.DUMMYFUNCTION("TRIM(CONCAT(""[right]"", REGEXREPLACE(C272, ""([ROYGBPXZC_]|1?[0-9])"", ""[img=119]res://textures/icons/$0.png[/img]\\n"")))"),"[right]")</f>
        <v>[right]</v>
      </c>
      <c r="V272" s="1" t="str">
        <f>IFERROR(__xludf.DUMMYFUNCTION("SUBSTITUTE(SUBSTITUTE(SUBSTITUTE(SUBSTITUTE(REGEXREPLACE(SUBSTITUTE(SUBSTITUTE(SUBSTITUTE(SUBSTITUTE(REGEXREPLACE(I272, ""(\[([ROYGBPTQUXZC_]|1?[0-9])\])"", ""[img=45]res://textures/icons/$2.png[/img]""),""--"",""—""),""-&gt;"",""•""),""~@"", CONCATENATE(""["&amp;"i]"",REGEXEXTRACT(B272,""^([\s\S]*),|$""),""[/i]"")),""~"", CONCATENATE(""[i]"",B272,""[/i]"")),""(\([\s\S]*?\))"",""[i][color=#34343A]$0[/color][/i]""), ""&lt;"", ""[""), ""&gt;"", ""]""), ""[/p][p]"", ""[font_size=15]\n\n[/font_size]""), ""[br/]"", ""\n"")"),"")</f>
        <v/>
      </c>
      <c r="W272" s="6" t="str">
        <f t="shared" si="19"/>
        <v>[i][/i]</v>
      </c>
      <c r="X272" s="1" t="str">
        <f t="shared" si="20"/>
        <v>0</v>
      </c>
      <c r="Y272" s="1"/>
    </row>
    <row r="273">
      <c r="A273" s="7" t="s">
        <v>76</v>
      </c>
      <c r="B273" s="6" t="str">
        <f t="shared" si="17"/>
        <v>C</v>
      </c>
      <c r="C273" s="8"/>
      <c r="D273" s="9" t="str">
        <f>IFERROR(__xludf.DUMMYFUNCTION("IF(ISBLANK(A273),"""",SWITCH(IF(T273="""",0,COUNTA(SPLIT(T273,"" ""))),0,""Generic"",1,TRIM(T273),2,""Multicolor"",3,""Multicolor"",4,""Multicolor"",5,""Multicolor"",6,""Multicolor"",7,""Multicolor"",8,""Multicolor""))"),"Generic")</f>
        <v>Generic</v>
      </c>
      <c r="E273" s="1"/>
      <c r="F273" s="1"/>
      <c r="H273" s="10"/>
      <c r="I273" s="11"/>
      <c r="J273" s="11"/>
      <c r="K273" s="6" t="s">
        <v>39</v>
      </c>
      <c r="L273" s="6" t="s">
        <v>39</v>
      </c>
      <c r="Q273" s="7">
        <v>60</v>
      </c>
      <c r="R273" s="7">
        <v>50</v>
      </c>
      <c r="S273" s="1" t="str">
        <f t="shared" si="18"/>
        <v>False</v>
      </c>
      <c r="T273" s="6" t="str">
        <f>IFERROR(__xludf.DUMMYFUNCTION("CONCATENATE(if(REGEXMATCH(C273,""R""),"" Red"",""""),if(REGEXMATCH(C273,""O""),"" Orange"",""""),if(REGEXMATCH(C273,""Y""),"" Yellow"",""""),if(REGEXMATCH(C273,""G""),"" Green"",""""),if(REGEXMATCH(C273,""B""),"" Blue"",""""),if(REGEXMATCH(C273,""P""),"" "&amp;"Purple"",""""))"),"")</f>
        <v/>
      </c>
      <c r="U273" s="6" t="str">
        <f>IFERROR(__xludf.DUMMYFUNCTION("TRIM(CONCAT(""[right]"", REGEXREPLACE(C273, ""([ROYGBPXZC_]|1?[0-9])"", ""[img=119]res://textures/icons/$0.png[/img]\\n"")))"),"[right]")</f>
        <v>[right]</v>
      </c>
      <c r="V273" s="1" t="str">
        <f>IFERROR(__xludf.DUMMYFUNCTION("SUBSTITUTE(SUBSTITUTE(SUBSTITUTE(SUBSTITUTE(REGEXREPLACE(SUBSTITUTE(SUBSTITUTE(SUBSTITUTE(SUBSTITUTE(REGEXREPLACE(I273, ""(\[([ROYGBPTQUXZC_]|1?[0-9])\])"", ""[img=45]res://textures/icons/$2.png[/img]""),""--"",""—""),""-&gt;"",""•""),""~@"", CONCATENATE(""["&amp;"i]"",REGEXEXTRACT(B273,""^([\s\S]*),|$""),""[/i]"")),""~"", CONCATENATE(""[i]"",B273,""[/i]"")),""(\([\s\S]*?\))"",""[i][color=#34343A]$0[/color][/i]""), ""&lt;"", ""[""), ""&gt;"", ""]""), ""[/p][p]"", ""[font_size=15]\n\n[/font_size]""), ""[br/]"", ""\n"")"),"")</f>
        <v/>
      </c>
      <c r="W273" s="6" t="str">
        <f t="shared" si="19"/>
        <v>[i][/i]</v>
      </c>
      <c r="X273" s="1" t="str">
        <f t="shared" si="20"/>
        <v>0</v>
      </c>
      <c r="Y273" s="1"/>
    </row>
    <row r="274">
      <c r="A274" s="7" t="s">
        <v>76</v>
      </c>
      <c r="B274" s="6" t="str">
        <f t="shared" si="17"/>
        <v>C</v>
      </c>
      <c r="C274" s="8"/>
      <c r="D274" s="9" t="str">
        <f>IFERROR(__xludf.DUMMYFUNCTION("IF(ISBLANK(A274),"""",SWITCH(IF(T274="""",0,COUNTA(SPLIT(T274,"" ""))),0,""Generic"",1,TRIM(T274),2,""Multicolor"",3,""Multicolor"",4,""Multicolor"",5,""Multicolor"",6,""Multicolor"",7,""Multicolor"",8,""Multicolor""))"),"Generic")</f>
        <v>Generic</v>
      </c>
      <c r="E274" s="1"/>
      <c r="F274" s="1"/>
      <c r="H274" s="10"/>
      <c r="I274" s="11"/>
      <c r="J274" s="11"/>
      <c r="K274" s="6" t="s">
        <v>39</v>
      </c>
      <c r="L274" s="6" t="s">
        <v>39</v>
      </c>
      <c r="O274" s="11"/>
      <c r="Q274" s="7">
        <v>60</v>
      </c>
      <c r="R274" s="7">
        <v>50</v>
      </c>
      <c r="S274" s="1" t="str">
        <f t="shared" si="18"/>
        <v>False</v>
      </c>
      <c r="T274" s="6" t="str">
        <f>IFERROR(__xludf.DUMMYFUNCTION("CONCATENATE(if(REGEXMATCH(C274,""R""),"" Red"",""""),if(REGEXMATCH(C274,""O""),"" Orange"",""""),if(REGEXMATCH(C274,""Y""),"" Yellow"",""""),if(REGEXMATCH(C274,""G""),"" Green"",""""),if(REGEXMATCH(C274,""B""),"" Blue"",""""),if(REGEXMATCH(C274,""P""),"" "&amp;"Purple"",""""))"),"")</f>
        <v/>
      </c>
      <c r="U274" s="6" t="str">
        <f>IFERROR(__xludf.DUMMYFUNCTION("TRIM(CONCAT(""[right]"", REGEXREPLACE(C274, ""([ROYGBPXZC_]|1?[0-9])"", ""[img=119]res://textures/icons/$0.png[/img]\\n"")))"),"[right]")</f>
        <v>[right]</v>
      </c>
      <c r="V274" s="1" t="str">
        <f>IFERROR(__xludf.DUMMYFUNCTION("SUBSTITUTE(SUBSTITUTE(SUBSTITUTE(SUBSTITUTE(REGEXREPLACE(SUBSTITUTE(SUBSTITUTE(SUBSTITUTE(SUBSTITUTE(REGEXREPLACE(I274, ""(\[([ROYGBPTQUXZC_]|1?[0-9])\])"", ""[img=45]res://textures/icons/$2.png[/img]""),""--"",""—""),""-&gt;"",""•""),""~@"", CONCATENATE(""["&amp;"i]"",REGEXEXTRACT(B274,""^([\s\S]*),|$""),""[/i]"")),""~"", CONCATENATE(""[i]"",B274,""[/i]"")),""(\([\s\S]*?\))"",""[i][color=#34343A]$0[/color][/i]""), ""&lt;"", ""[""), ""&gt;"", ""]""), ""[/p][p]"", ""[font_size=15]\n\n[/font_size]""), ""[br/]"", ""\n"")"),"")</f>
        <v/>
      </c>
      <c r="W274" s="6" t="str">
        <f t="shared" si="19"/>
        <v>[i][/i]</v>
      </c>
      <c r="X274" s="1" t="str">
        <f t="shared" si="20"/>
        <v>0</v>
      </c>
      <c r="Y274" s="1"/>
    </row>
    <row r="275">
      <c r="A275" s="7" t="s">
        <v>76</v>
      </c>
      <c r="B275" s="6" t="str">
        <f t="shared" si="17"/>
        <v>C</v>
      </c>
      <c r="C275" s="8"/>
      <c r="D275" s="9" t="str">
        <f>IFERROR(__xludf.DUMMYFUNCTION("IF(ISBLANK(A275),"""",SWITCH(IF(T275="""",0,COUNTA(SPLIT(T275,"" ""))),0,""Generic"",1,TRIM(T275),2,""Multicolor"",3,""Multicolor"",4,""Multicolor"",5,""Multicolor"",6,""Multicolor"",7,""Multicolor"",8,""Multicolor""))"),"Generic")</f>
        <v>Generic</v>
      </c>
      <c r="E275" s="1"/>
      <c r="F275" s="1"/>
      <c r="H275" s="10"/>
      <c r="I275" s="11"/>
      <c r="J275" s="11"/>
      <c r="K275" s="6" t="s">
        <v>39</v>
      </c>
      <c r="L275" s="6" t="s">
        <v>39</v>
      </c>
      <c r="O275" s="11"/>
      <c r="Q275" s="7">
        <v>60</v>
      </c>
      <c r="R275" s="7">
        <v>50</v>
      </c>
      <c r="S275" s="1" t="str">
        <f t="shared" si="18"/>
        <v>False</v>
      </c>
      <c r="T275" s="6" t="str">
        <f>IFERROR(__xludf.DUMMYFUNCTION("CONCATENATE(if(REGEXMATCH(C275,""R""),"" Red"",""""),if(REGEXMATCH(C275,""O""),"" Orange"",""""),if(REGEXMATCH(C275,""Y""),"" Yellow"",""""),if(REGEXMATCH(C275,""G""),"" Green"",""""),if(REGEXMATCH(C275,""B""),"" Blue"",""""),if(REGEXMATCH(C275,""P""),"" "&amp;"Purple"",""""))"),"")</f>
        <v/>
      </c>
      <c r="U275" s="6" t="str">
        <f>IFERROR(__xludf.DUMMYFUNCTION("TRIM(CONCAT(""[right]"", REGEXREPLACE(C275, ""([ROYGBPXZC_]|1?[0-9])"", ""[img=119]res://textures/icons/$0.png[/img]\\n"")))"),"[right]")</f>
        <v>[right]</v>
      </c>
      <c r="V275" s="1" t="str">
        <f>IFERROR(__xludf.DUMMYFUNCTION("SUBSTITUTE(SUBSTITUTE(SUBSTITUTE(SUBSTITUTE(REGEXREPLACE(SUBSTITUTE(SUBSTITUTE(SUBSTITUTE(SUBSTITUTE(REGEXREPLACE(I275, ""(\[([ROYGBPTQUXZC_]|1?[0-9])\])"", ""[img=45]res://textures/icons/$2.png[/img]""),""--"",""—""),""-&gt;"",""•""),""~@"", CONCATENATE(""["&amp;"i]"",REGEXEXTRACT(B275,""^([\s\S]*),|$""),""[/i]"")),""~"", CONCATENATE(""[i]"",B275,""[/i]"")),""(\([\s\S]*?\))"",""[i][color=#34343A]$0[/color][/i]""), ""&lt;"", ""[""), ""&gt;"", ""]""), ""[/p][p]"", ""[font_size=15]\n\n[/font_size]""), ""[br/]"", ""\n"")"),"")</f>
        <v/>
      </c>
      <c r="W275" s="6" t="str">
        <f t="shared" si="19"/>
        <v>[i][/i]</v>
      </c>
      <c r="X275" s="1" t="str">
        <f t="shared" si="20"/>
        <v>0</v>
      </c>
      <c r="Y275" s="1"/>
    </row>
    <row r="276">
      <c r="A276" s="7" t="s">
        <v>76</v>
      </c>
      <c r="B276" s="6" t="str">
        <f t="shared" si="17"/>
        <v>C</v>
      </c>
      <c r="C276" s="8"/>
      <c r="D276" s="9" t="str">
        <f>IFERROR(__xludf.DUMMYFUNCTION("IF(ISBLANK(A276),"""",SWITCH(IF(T276="""",0,COUNTA(SPLIT(T276,"" ""))),0,""Generic"",1,TRIM(T276),2,""Multicolor"",3,""Multicolor"",4,""Multicolor"",5,""Multicolor"",6,""Multicolor"",7,""Multicolor"",8,""Multicolor""))"),"Generic")</f>
        <v>Generic</v>
      </c>
      <c r="E276" s="1"/>
      <c r="F276" s="1"/>
      <c r="H276" s="10"/>
      <c r="I276" s="11"/>
      <c r="J276" s="11"/>
      <c r="K276" s="6" t="s">
        <v>39</v>
      </c>
      <c r="L276" s="6" t="s">
        <v>39</v>
      </c>
      <c r="O276" s="11"/>
      <c r="Q276" s="7">
        <v>60</v>
      </c>
      <c r="R276" s="7">
        <v>50</v>
      </c>
      <c r="S276" s="1" t="str">
        <f t="shared" si="18"/>
        <v>False</v>
      </c>
      <c r="T276" s="6" t="str">
        <f>IFERROR(__xludf.DUMMYFUNCTION("CONCATENATE(if(REGEXMATCH(C276,""R""),"" Red"",""""),if(REGEXMATCH(C276,""O""),"" Orange"",""""),if(REGEXMATCH(C276,""Y""),"" Yellow"",""""),if(REGEXMATCH(C276,""G""),"" Green"",""""),if(REGEXMATCH(C276,""B""),"" Blue"",""""),if(REGEXMATCH(C276,""P""),"" "&amp;"Purple"",""""))"),"")</f>
        <v/>
      </c>
      <c r="U276" s="6" t="str">
        <f>IFERROR(__xludf.DUMMYFUNCTION("TRIM(CONCAT(""[right]"", REGEXREPLACE(C276, ""([ROYGBPXZC_]|1?[0-9])"", ""[img=119]res://textures/icons/$0.png[/img]\\n"")))"),"[right]")</f>
        <v>[right]</v>
      </c>
      <c r="V276" s="1" t="str">
        <f>IFERROR(__xludf.DUMMYFUNCTION("SUBSTITUTE(SUBSTITUTE(SUBSTITUTE(SUBSTITUTE(REGEXREPLACE(SUBSTITUTE(SUBSTITUTE(SUBSTITUTE(SUBSTITUTE(REGEXREPLACE(I276, ""(\[([ROYGBPTQUXZC_]|1?[0-9])\])"", ""[img=45]res://textures/icons/$2.png[/img]""),""--"",""—""),""-&gt;"",""•""),""~@"", CONCATENATE(""["&amp;"i]"",REGEXEXTRACT(B276,""^([\s\S]*),|$""),""[/i]"")),""~"", CONCATENATE(""[i]"",B276,""[/i]"")),""(\([\s\S]*?\))"",""[i][color=#34343A]$0[/color][/i]""), ""&lt;"", ""[""), ""&gt;"", ""]""), ""[/p][p]"", ""[font_size=15]\n\n[/font_size]""), ""[br/]"", ""\n"")"),"")</f>
        <v/>
      </c>
      <c r="W276" s="6" t="str">
        <f t="shared" si="19"/>
        <v>[i][/i]</v>
      </c>
      <c r="X276" s="1" t="str">
        <f t="shared" si="20"/>
        <v>0</v>
      </c>
      <c r="Y276" s="1"/>
    </row>
    <row r="277">
      <c r="A277" s="7" t="s">
        <v>76</v>
      </c>
      <c r="B277" s="6" t="str">
        <f t="shared" si="17"/>
        <v>C</v>
      </c>
      <c r="C277" s="8"/>
      <c r="D277" s="9" t="str">
        <f>IFERROR(__xludf.DUMMYFUNCTION("IF(ISBLANK(A277),"""",SWITCH(IF(T277="""",0,COUNTA(SPLIT(T277,"" ""))),0,""Generic"",1,TRIM(T277),2,""Multicolor"",3,""Multicolor"",4,""Multicolor"",5,""Multicolor"",6,""Multicolor"",7,""Multicolor"",8,""Multicolor""))"),"Generic")</f>
        <v>Generic</v>
      </c>
      <c r="E277" s="1"/>
      <c r="F277" s="1"/>
      <c r="H277" s="10"/>
      <c r="I277" s="11"/>
      <c r="J277" s="11"/>
      <c r="K277" s="6" t="s">
        <v>39</v>
      </c>
      <c r="L277" s="6" t="s">
        <v>39</v>
      </c>
      <c r="O277" s="11"/>
      <c r="Q277" s="7">
        <v>60</v>
      </c>
      <c r="R277" s="7">
        <v>50</v>
      </c>
      <c r="S277" s="1" t="str">
        <f t="shared" si="18"/>
        <v>False</v>
      </c>
      <c r="T277" s="6" t="str">
        <f>IFERROR(__xludf.DUMMYFUNCTION("CONCATENATE(if(REGEXMATCH(C277,""R""),"" Red"",""""),if(REGEXMATCH(C277,""O""),"" Orange"",""""),if(REGEXMATCH(C277,""Y""),"" Yellow"",""""),if(REGEXMATCH(C277,""G""),"" Green"",""""),if(REGEXMATCH(C277,""B""),"" Blue"",""""),if(REGEXMATCH(C277,""P""),"" "&amp;"Purple"",""""))"),"")</f>
        <v/>
      </c>
      <c r="U277" s="6" t="str">
        <f>IFERROR(__xludf.DUMMYFUNCTION("TRIM(CONCAT(""[right]"", REGEXREPLACE(C277, ""([ROYGBPXZC_]|1?[0-9])"", ""[img=119]res://textures/icons/$0.png[/img]\\n"")))"),"[right]")</f>
        <v>[right]</v>
      </c>
      <c r="V277" s="1" t="str">
        <f>IFERROR(__xludf.DUMMYFUNCTION("SUBSTITUTE(SUBSTITUTE(SUBSTITUTE(SUBSTITUTE(REGEXREPLACE(SUBSTITUTE(SUBSTITUTE(SUBSTITUTE(SUBSTITUTE(REGEXREPLACE(I277, ""(\[([ROYGBPTQUXZC_]|1?[0-9])\])"", ""[img=45]res://textures/icons/$2.png[/img]""),""--"",""—""),""-&gt;"",""•""),""~@"", CONCATENATE(""["&amp;"i]"",REGEXEXTRACT(B277,""^([\s\S]*),|$""),""[/i]"")),""~"", CONCATENATE(""[i]"",B277,""[/i]"")),""(\([\s\S]*?\))"",""[i][color=#34343A]$0[/color][/i]""), ""&lt;"", ""[""), ""&gt;"", ""]""), ""[/p][p]"", ""[font_size=15]\n\n[/font_size]""), ""[br/]"", ""\n"")"),"")</f>
        <v/>
      </c>
      <c r="W277" s="6" t="str">
        <f t="shared" si="19"/>
        <v>[i][/i]</v>
      </c>
      <c r="X277" s="1" t="str">
        <f t="shared" si="20"/>
        <v>0</v>
      </c>
      <c r="Y277" s="1"/>
    </row>
    <row r="278">
      <c r="A278" s="7" t="s">
        <v>453</v>
      </c>
      <c r="B278" s="7" t="str">
        <f t="shared" si="17"/>
        <v>M_CMDR_GP_001</v>
      </c>
      <c r="C278" s="8"/>
      <c r="D278" s="9" t="str">
        <f>IFERROR(__xludf.DUMMYFUNCTION("IF(ISBLANK(A278),"""",SWITCH(IF(T278="""",0,COUNTA(SPLIT(T278,"" ""))),0,""Generic"",1,TRIM(T278),2,""Multicolor"",3,""Multicolor"",4,""Multicolor"",5,""Multicolor"",6,""Multicolor"",7,""Multicolor"",8,""Multicolor""))"),"Generic")</f>
        <v>Generic</v>
      </c>
      <c r="E278" s="1"/>
      <c r="F278" s="1"/>
      <c r="G278" s="7" t="s">
        <v>454</v>
      </c>
      <c r="H278" s="10" t="s">
        <v>454</v>
      </c>
      <c r="I278" s="11" t="s">
        <v>454</v>
      </c>
      <c r="J278" s="11" t="s">
        <v>454</v>
      </c>
      <c r="K278" s="6" t="e">
        <v>#VALUE!</v>
      </c>
      <c r="L278" s="6" t="e">
        <v>#VALUE!</v>
      </c>
      <c r="O278" s="7" t="s">
        <v>454</v>
      </c>
      <c r="Q278" s="7">
        <v>60</v>
      </c>
      <c r="R278" s="7">
        <v>50</v>
      </c>
      <c r="S278" s="1" t="str">
        <f t="shared" si="18"/>
        <v>#VALUE!</v>
      </c>
      <c r="T278" s="6" t="str">
        <f>IFERROR(__xludf.DUMMYFUNCTION("CONCATENATE(if(REGEXMATCH(C278,""R""),"" Red"",""""),if(REGEXMATCH(C278,""O""),"" Orange"",""""),if(REGEXMATCH(C278,""Y""),"" Yellow"",""""),if(REGEXMATCH(C278,""G""),"" Green"",""""),if(REGEXMATCH(C278,""B""),"" Blue"",""""),if(REGEXMATCH(C278,""P""),"" "&amp;"Purple"",""""))"),"")</f>
        <v/>
      </c>
      <c r="U278" s="6" t="str">
        <f>IFERROR(__xludf.DUMMYFUNCTION("TRIM(CONCAT(""[right]"", REGEXREPLACE(C278, ""([ROYGBPXZC_]|1?[0-9])"", ""[img=119]res://textures/icons/$0.png[/img]\\n"")))"),"[right]")</f>
        <v>[right]</v>
      </c>
      <c r="V278" s="1" t="str">
        <f>IFERROR(__xludf.DUMMYFUNCTION("SUBSTITUTE(SUBSTITUTE(SUBSTITUTE(SUBSTITUTE(REGEXREPLACE(SUBSTITUTE(SUBSTITUTE(SUBSTITUTE(SUBSTITUTE(REGEXREPLACE(I278, ""(\[([ROYGBPTQUXZC_]|1?[0-9])\])"", ""[img=45]res://textures/icons/$2.png[/img]""),""--"",""—""),""-&gt;"",""•""),""~@"", CONCATENATE(""["&amp;"i]"",REGEXEXTRACT(B278,""^([\s\S]*),|$""),""[/i]"")),""~"", CONCATENATE(""[i]"",B278,""[/i]"")),""(\([\s\S]*?\))"",""[i][color=#34343A]$0[/color][/i]""), ""&lt;"", ""[""), ""&gt;"", ""]""), ""[/p][p]"", ""[font_size=15]\n\n[/font_size]""), ""[br/]"", ""\n"")"),"Megacorp New Hire [i][color=#34343A](landfall)[/color][/i] midrange")</f>
        <v xml:space="preserve">Megacorp New Hire [i][color=#34343A](landfall)[/color][/i] midrange</v>
      </c>
      <c r="W278" s="6" t="str">
        <f t="shared" si="19"/>
        <v>[i][/i]</v>
      </c>
      <c r="X278" s="1" t="str">
        <f t="shared" si="20"/>
        <v>0</v>
      </c>
      <c r="Y278" s="1"/>
      <c r="Z278" s="1"/>
      <c r="AA278" s="1"/>
    </row>
    <row r="279">
      <c r="A279" s="7" t="s">
        <v>455</v>
      </c>
      <c r="B279" s="7" t="s">
        <v>456</v>
      </c>
      <c r="C279" s="12" t="s">
        <v>457</v>
      </c>
      <c r="D279" s="9" t="str">
        <f>IFERROR(__xludf.DUMMYFUNCTION("IF(ISBLANK(A279),"""",SWITCH(IF(T279="""",0,COUNTA(SPLIT(T279,"" ""))),0,""Generic"",1,TRIM(T279),2,""Multicolor"",3,""Multicolor"",4,""Multicolor"",5,""Multicolor"",6,""Multicolor"",7,""Multicolor"",8,""Multicolor""))"),"Multicolor")</f>
        <v>Multicolor</v>
      </c>
      <c r="E279" s="1"/>
      <c r="F279" s="1" t="s">
        <v>26</v>
      </c>
      <c r="G279" s="7" t="s">
        <v>458</v>
      </c>
      <c r="H279" s="10" t="s">
        <v>223</v>
      </c>
      <c r="I279" s="11" t="s">
        <v>459</v>
      </c>
      <c r="J279" s="11"/>
      <c r="K279" s="6" t="s">
        <v>39</v>
      </c>
      <c r="L279" s="6" t="s">
        <v>39</v>
      </c>
      <c r="O279" s="11" t="s">
        <v>460</v>
      </c>
      <c r="Q279" s="7">
        <v>50</v>
      </c>
      <c r="R279" s="7">
        <v>50</v>
      </c>
      <c r="S279" s="1" t="str">
        <f t="shared" si="18"/>
        <v>False</v>
      </c>
      <c r="T279" s="6" t="str">
        <f>IFERROR(__xludf.DUMMYFUNCTION("CONCATENATE(if(REGEXMATCH(C279,""R""),"" Red"",""""),if(REGEXMATCH(C279,""O""),"" Orange"",""""),if(REGEXMATCH(C279,""Y""),"" Yellow"",""""),if(REGEXMATCH(C279,""G""),"" Green"",""""),if(REGEXMATCH(C279,""B""),"" Blue"",""""),if(REGEXMATCH(C279,""P""),"" "&amp;"Purple"",""""))")," Green Purple")</f>
        <v xml:space="preserve">Green Purple</v>
      </c>
      <c r="U279" s="6" t="str">
        <f>IFERROR(__xludf.DUMMYFUNCTION("TRIM(CONCAT(""[right]"", REGEXREPLACE(C279, ""([ROYGBPXZC_]|1?[0-9])"", ""[img=119]res://textures/icons/$0.png[/img]\\n"")))"),"[right][img=119]res://textures/icons/G.png[/img]\n[img=119]res://textures/icons/P.png[/img]\n")</f>
        <v>[right][img=119]res://textures/icons/G.png[/img]\n[img=119]res://textures/icons/P.png[/img]\n</v>
      </c>
      <c r="V279" s="1" t="str">
        <f>IFERROR(__xludf.DUMMYFUNCTION("SUBSTITUTE(SUBSTITUTE(SUBSTITUTE(SUBSTITUTE(REGEXREPLACE(SUBSTITUTE(SUBSTITUTE(SUBSTITUTE(SUBSTITUTE(REGEXREPLACE(I279, ""(\[([ROYGBPTQUXZC_]|1?[0-9])\])"", ""[img=45]res://textures/icons/$2.png[/img]""),""--"",""—""),""-&gt;"",""•""),""~@"", CONCATENATE(""["&amp;"i]"",REGEXEXTRACT(B279,""^([\s\S]*),|$""),""[/i]"")),""~"", CONCATENATE(""[i]"",B279,""[/i]"")),""(\([\s\S]*?\))"",""[i][color=#34343A]$0[/color][/i]""), ""&lt;"", ""[""), ""&gt;"", ""]""), ""[/p][p]"", ""[font_size=15]\n\n[/font_size]""), ""[br/]"", ""\n"")"),"[p][center]If [i]Corporate Ascension[/i] has seen 20 generators enter the battlefield, you win the game.[/center][/p]")</f>
        <v xml:space="preserve">[p][center]If [i]Corporate Ascension[/i] has seen 20 generators enter the battlefield, you win the game.[/center][/p]</v>
      </c>
      <c r="W279" s="6" t="str">
        <f t="shared" si="19"/>
        <v>[i]Asset[/i]</v>
      </c>
      <c r="X279" s="1" t="str">
        <f t="shared" si="20"/>
        <v>RS_MR_GP_001</v>
      </c>
      <c r="Y279" s="1"/>
    </row>
    <row r="280">
      <c r="A280" s="7" t="s">
        <v>177</v>
      </c>
      <c r="B280" s="6" t="str">
        <f t="shared" si="17"/>
        <v>Y</v>
      </c>
      <c r="C280" s="8"/>
      <c r="D280" s="9" t="str">
        <f>IFERROR(__xludf.DUMMYFUNCTION("IF(ISBLANK(A280),"""",SWITCH(IF(T280="""",0,COUNTA(SPLIT(T280,"" ""))),0,""Generic"",1,TRIM(T280),2,""Multicolor"",3,""Multicolor"",4,""Multicolor"",5,""Multicolor"",6,""Multicolor"",7,""Multicolor"",8,""Multicolor""))"),"Generic")</f>
        <v>Generic</v>
      </c>
      <c r="E280" s="1"/>
      <c r="F280" s="1"/>
      <c r="H280" s="10"/>
      <c r="I280" s="11"/>
      <c r="J280" s="11"/>
      <c r="K280" s="6" t="s">
        <v>39</v>
      </c>
      <c r="L280" s="6" t="s">
        <v>39</v>
      </c>
      <c r="O280" s="11"/>
      <c r="Q280" s="7">
        <v>60</v>
      </c>
      <c r="R280" s="7">
        <v>50</v>
      </c>
      <c r="S280" s="1" t="str">
        <f t="shared" si="18"/>
        <v>False</v>
      </c>
      <c r="T280" s="6" t="str">
        <f>IFERROR(__xludf.DUMMYFUNCTION("CONCATENATE(if(REGEXMATCH(C280,""R""),"" Red"",""""),if(REGEXMATCH(C280,""O""),"" Orange"",""""),if(REGEXMATCH(C280,""Y""),"" Yellow"",""""),if(REGEXMATCH(C280,""G""),"" Green"",""""),if(REGEXMATCH(C280,""B""),"" Blue"",""""),if(REGEXMATCH(C280,""P""),"" "&amp;"Purple"",""""))"),"")</f>
        <v/>
      </c>
      <c r="U280" s="6" t="str">
        <f>IFERROR(__xludf.DUMMYFUNCTION("TRIM(CONCAT(""[right]"", REGEXREPLACE(C280, ""([ROYGBPXZC_]|1?[0-9])"", ""[img=119]res://textures/icons/$0.png[/img]\\n"")))"),"[right]")</f>
        <v>[right]</v>
      </c>
      <c r="V280" s="1" t="str">
        <f>IFERROR(__xludf.DUMMYFUNCTION("SUBSTITUTE(SUBSTITUTE(SUBSTITUTE(SUBSTITUTE(REGEXREPLACE(SUBSTITUTE(SUBSTITUTE(SUBSTITUTE(SUBSTITUTE(REGEXREPLACE(I280, ""(\[([ROYGBPTQUXZC_]|1?[0-9])\])"", ""[img=45]res://textures/icons/$2.png[/img]""),""--"",""—""),""-&gt;"",""•""),""~@"", CONCATENATE(""["&amp;"i]"",REGEXEXTRACT(B280,""^([\s\S]*),|$""),""[/i]"")),""~"", CONCATENATE(""[i]"",B280,""[/i]"")),""(\([\s\S]*?\))"",""[i][color=#34343A]$0[/color][/i]""), ""&lt;"", ""[""), ""&gt;"", ""]""), ""[/p][p]"", ""[font_size=15]\n\n[/font_size]""), ""[br/]"", ""\n"")"),"")</f>
        <v/>
      </c>
      <c r="W280" s="6" t="str">
        <f t="shared" si="19"/>
        <v>[i][/i]</v>
      </c>
      <c r="X280" s="1" t="str">
        <f t="shared" si="20"/>
        <v>0</v>
      </c>
      <c r="Y280" s="1"/>
    </row>
    <row r="281">
      <c r="A281" s="7" t="s">
        <v>177</v>
      </c>
      <c r="B281" s="6" t="str">
        <f t="shared" si="17"/>
        <v>Y</v>
      </c>
      <c r="C281" s="8"/>
      <c r="D281" s="9" t="str">
        <f>IFERROR(__xludf.DUMMYFUNCTION("IF(ISBLANK(A281),"""",SWITCH(IF(T281="""",0,COUNTA(SPLIT(T281,"" ""))),0,""Generic"",1,TRIM(T281),2,""Multicolor"",3,""Multicolor"",4,""Multicolor"",5,""Multicolor"",6,""Multicolor"",7,""Multicolor"",8,""Multicolor""))"),"Generic")</f>
        <v>Generic</v>
      </c>
      <c r="E281" s="1"/>
      <c r="F281" s="1"/>
      <c r="H281" s="10"/>
      <c r="I281" s="11"/>
      <c r="J281" s="11"/>
      <c r="K281" s="6" t="s">
        <v>39</v>
      </c>
      <c r="L281" s="6" t="s">
        <v>39</v>
      </c>
      <c r="Q281" s="7">
        <v>60</v>
      </c>
      <c r="R281" s="7">
        <v>50</v>
      </c>
      <c r="S281" s="1" t="str">
        <f t="shared" si="18"/>
        <v>False</v>
      </c>
      <c r="T281" s="6" t="str">
        <f>IFERROR(__xludf.DUMMYFUNCTION("CONCATENATE(if(REGEXMATCH(C281,""R""),"" Red"",""""),if(REGEXMATCH(C281,""O""),"" Orange"",""""),if(REGEXMATCH(C281,""Y""),"" Yellow"",""""),if(REGEXMATCH(C281,""G""),"" Green"",""""),if(REGEXMATCH(C281,""B""),"" Blue"",""""),if(REGEXMATCH(C281,""P""),"" "&amp;"Purple"",""""))"),"")</f>
        <v/>
      </c>
      <c r="U281" s="6" t="str">
        <f>IFERROR(__xludf.DUMMYFUNCTION("TRIM(CONCAT(""[right]"", REGEXREPLACE(C281, ""([ROYGBPXZC_]|1?[0-9])"", ""[img=119]res://textures/icons/$0.png[/img]\\n"")))"),"[right]")</f>
        <v>[right]</v>
      </c>
      <c r="V281" s="1" t="str">
        <f>IFERROR(__xludf.DUMMYFUNCTION("SUBSTITUTE(SUBSTITUTE(SUBSTITUTE(SUBSTITUTE(REGEXREPLACE(SUBSTITUTE(SUBSTITUTE(SUBSTITUTE(SUBSTITUTE(REGEXREPLACE(I281, ""(\[([ROYGBPTQUXZC_]|1?[0-9])\])"", ""[img=45]res://textures/icons/$2.png[/img]""),""--"",""—""),""-&gt;"",""•""),""~@"", CONCATENATE(""["&amp;"i]"",REGEXEXTRACT(B281,""^([\s\S]*),|$""),""[/i]"")),""~"", CONCATENATE(""[i]"",B281,""[/i]"")),""(\([\s\S]*?\))"",""[i][color=#34343A]$0[/color][/i]""), ""&lt;"", ""[""), ""&gt;"", ""]""), ""[/p][p]"", ""[font_size=15]\n\n[/font_size]""), ""[br/]"", ""\n"")"),"")</f>
        <v/>
      </c>
      <c r="W281" s="6" t="str">
        <f t="shared" si="19"/>
        <v>[i][/i]</v>
      </c>
      <c r="X281" s="1" t="str">
        <f t="shared" si="20"/>
        <v>0</v>
      </c>
      <c r="Y281" s="1"/>
    </row>
    <row r="282">
      <c r="A282" s="7" t="s">
        <v>177</v>
      </c>
      <c r="B282" s="6" t="str">
        <f t="shared" si="17"/>
        <v>Y</v>
      </c>
      <c r="C282" s="8"/>
      <c r="D282" s="9" t="str">
        <f>IFERROR(__xludf.DUMMYFUNCTION("IF(ISBLANK(A282),"""",SWITCH(IF(T282="""",0,COUNTA(SPLIT(T282,"" ""))),0,""Generic"",1,TRIM(T282),2,""Multicolor"",3,""Multicolor"",4,""Multicolor"",5,""Multicolor"",6,""Multicolor"",7,""Multicolor"",8,""Multicolor""))"),"Generic")</f>
        <v>Generic</v>
      </c>
      <c r="E282" s="1"/>
      <c r="F282" s="1"/>
      <c r="H282" s="10"/>
      <c r="I282" s="11"/>
      <c r="J282" s="11"/>
      <c r="K282" s="6" t="s">
        <v>39</v>
      </c>
      <c r="L282" s="6" t="s">
        <v>39</v>
      </c>
      <c r="Q282" s="7">
        <v>60</v>
      </c>
      <c r="R282" s="7">
        <v>50</v>
      </c>
      <c r="S282" s="1" t="str">
        <f t="shared" si="18"/>
        <v>False</v>
      </c>
      <c r="T282" s="6" t="str">
        <f>IFERROR(__xludf.DUMMYFUNCTION("CONCATENATE(if(REGEXMATCH(C282,""R""),"" Red"",""""),if(REGEXMATCH(C282,""O""),"" Orange"",""""),if(REGEXMATCH(C282,""Y""),"" Yellow"",""""),if(REGEXMATCH(C282,""G""),"" Green"",""""),if(REGEXMATCH(C282,""B""),"" Blue"",""""),if(REGEXMATCH(C282,""P""),"" "&amp;"Purple"",""""))"),"")</f>
        <v/>
      </c>
      <c r="U282" s="6" t="str">
        <f>IFERROR(__xludf.DUMMYFUNCTION("TRIM(CONCAT(""[right]"", REGEXREPLACE(C282, ""([ROYGBPXZC_]|1?[0-9])"", ""[img=119]res://textures/icons/$0.png[/img]\\n"")))"),"[right]")</f>
        <v>[right]</v>
      </c>
      <c r="V282" s="1" t="str">
        <f>IFERROR(__xludf.DUMMYFUNCTION("SUBSTITUTE(SUBSTITUTE(SUBSTITUTE(SUBSTITUTE(REGEXREPLACE(SUBSTITUTE(SUBSTITUTE(SUBSTITUTE(SUBSTITUTE(REGEXREPLACE(I282, ""(\[([ROYGBPTQUXZC_]|1?[0-9])\])"", ""[img=45]res://textures/icons/$2.png[/img]""),""--"",""—""),""-&gt;"",""•""),""~@"", CONCATENATE(""["&amp;"i]"",REGEXEXTRACT(B282,""^([\s\S]*),|$""),""[/i]"")),""~"", CONCATENATE(""[i]"",B282,""[/i]"")),""(\([\s\S]*?\))"",""[i][color=#34343A]$0[/color][/i]""), ""&lt;"", ""[""), ""&gt;"", ""]""), ""[/p][p]"", ""[font_size=15]\n\n[/font_size]""), ""[br/]"", ""\n"")"),"")</f>
        <v/>
      </c>
      <c r="W282" s="6" t="str">
        <f t="shared" si="19"/>
        <v>[i][/i]</v>
      </c>
      <c r="X282" s="1" t="str">
        <f t="shared" si="20"/>
        <v>0</v>
      </c>
      <c r="Y282" s="1"/>
    </row>
    <row r="283">
      <c r="A283" s="7" t="s">
        <v>75</v>
      </c>
      <c r="B283" s="6" t="str">
        <f t="shared" si="17"/>
        <v>U</v>
      </c>
      <c r="C283" s="8"/>
      <c r="D283" s="9" t="str">
        <f>IFERROR(__xludf.DUMMYFUNCTION("IF(ISBLANK(A283),"""",SWITCH(IF(T283="""",0,COUNTA(SPLIT(T283,"" ""))),0,""Generic"",1,TRIM(T283),2,""Multicolor"",3,""Multicolor"",4,""Multicolor"",5,""Multicolor"",6,""Multicolor"",7,""Multicolor"",8,""Multicolor""))"),"Generic")</f>
        <v>Generic</v>
      </c>
      <c r="E283" s="1"/>
      <c r="F283" s="1"/>
      <c r="H283" s="10"/>
      <c r="I283" s="11"/>
      <c r="J283" s="11"/>
      <c r="K283" s="6" t="s">
        <v>39</v>
      </c>
      <c r="L283" s="6" t="s">
        <v>39</v>
      </c>
      <c r="Q283" s="7">
        <v>60</v>
      </c>
      <c r="R283" s="7">
        <v>50</v>
      </c>
      <c r="S283" s="1" t="str">
        <f t="shared" si="18"/>
        <v>False</v>
      </c>
      <c r="T283" s="6" t="str">
        <f>IFERROR(__xludf.DUMMYFUNCTION("CONCATENATE(if(REGEXMATCH(C283,""R""),"" Red"",""""),if(REGEXMATCH(C283,""O""),"" Orange"",""""),if(REGEXMATCH(C283,""Y""),"" Yellow"",""""),if(REGEXMATCH(C283,""G""),"" Green"",""""),if(REGEXMATCH(C283,""B""),"" Blue"",""""),if(REGEXMATCH(C283,""P""),"" "&amp;"Purple"",""""))"),"")</f>
        <v/>
      </c>
      <c r="U283" s="6" t="str">
        <f>IFERROR(__xludf.DUMMYFUNCTION("TRIM(CONCAT(""[right]"", REGEXREPLACE(C283, ""([ROYGBPXZC_]|1?[0-9])"", ""[img=119]res://textures/icons/$0.png[/img]\\n"")))"),"[right]")</f>
        <v>[right]</v>
      </c>
      <c r="V283" s="1" t="str">
        <f>IFERROR(__xludf.DUMMYFUNCTION("SUBSTITUTE(SUBSTITUTE(SUBSTITUTE(SUBSTITUTE(REGEXREPLACE(SUBSTITUTE(SUBSTITUTE(SUBSTITUTE(SUBSTITUTE(REGEXREPLACE(I283, ""(\[([ROYGBPTQUXZC_]|1?[0-9])\])"", ""[img=45]res://textures/icons/$2.png[/img]""),""--"",""—""),""-&gt;"",""•""),""~@"", CONCATENATE(""["&amp;"i]"",REGEXEXTRACT(B283,""^([\s\S]*),|$""),""[/i]"")),""~"", CONCATENATE(""[i]"",B283,""[/i]"")),""(\([\s\S]*?\))"",""[i][color=#34343A]$0[/color][/i]""), ""&lt;"", ""[""), ""&gt;"", ""]""), ""[/p][p]"", ""[font_size=15]\n\n[/font_size]""), ""[br/]"", ""\n"")"),"")</f>
        <v/>
      </c>
      <c r="W283" s="6" t="str">
        <f t="shared" si="19"/>
        <v>[i][/i]</v>
      </c>
      <c r="X283" s="1" t="str">
        <f t="shared" si="20"/>
        <v>0</v>
      </c>
      <c r="Y283" s="1"/>
    </row>
    <row r="284">
      <c r="A284" s="7" t="s">
        <v>75</v>
      </c>
      <c r="B284" s="6" t="str">
        <f t="shared" si="17"/>
        <v>U</v>
      </c>
      <c r="C284" s="8"/>
      <c r="D284" s="9" t="str">
        <f>IFERROR(__xludf.DUMMYFUNCTION("IF(ISBLANK(A284),"""",SWITCH(IF(T284="""",0,COUNTA(SPLIT(T284,"" ""))),0,""Generic"",1,TRIM(T284),2,""Multicolor"",3,""Multicolor"",4,""Multicolor"",5,""Multicolor"",6,""Multicolor"",7,""Multicolor"",8,""Multicolor""))"),"Generic")</f>
        <v>Generic</v>
      </c>
      <c r="E284" s="1"/>
      <c r="F284" s="1"/>
      <c r="H284" s="10"/>
      <c r="I284" s="11"/>
      <c r="J284" s="11"/>
      <c r="K284" s="6" t="s">
        <v>39</v>
      </c>
      <c r="L284" s="6" t="s">
        <v>39</v>
      </c>
      <c r="Q284" s="7">
        <v>60</v>
      </c>
      <c r="R284" s="7">
        <v>50</v>
      </c>
      <c r="S284" s="1" t="str">
        <f t="shared" si="18"/>
        <v>False</v>
      </c>
      <c r="T284" s="6" t="str">
        <f>IFERROR(__xludf.DUMMYFUNCTION("CONCATENATE(if(REGEXMATCH(C284,""R""),"" Red"",""""),if(REGEXMATCH(C284,""O""),"" Orange"",""""),if(REGEXMATCH(C284,""Y""),"" Yellow"",""""),if(REGEXMATCH(C284,""G""),"" Green"",""""),if(REGEXMATCH(C284,""B""),"" Blue"",""""),if(REGEXMATCH(C284,""P""),"" "&amp;"Purple"",""""))"),"")</f>
        <v/>
      </c>
      <c r="U284" s="6" t="str">
        <f>IFERROR(__xludf.DUMMYFUNCTION("TRIM(CONCAT(""[right]"", REGEXREPLACE(C284, ""([ROYGBPXZC_]|1?[0-9])"", ""[img=119]res://textures/icons/$0.png[/img]\\n"")))"),"[right]")</f>
        <v>[right]</v>
      </c>
      <c r="V284" s="1" t="str">
        <f>IFERROR(__xludf.DUMMYFUNCTION("SUBSTITUTE(SUBSTITUTE(SUBSTITUTE(SUBSTITUTE(REGEXREPLACE(SUBSTITUTE(SUBSTITUTE(SUBSTITUTE(SUBSTITUTE(REGEXREPLACE(I284, ""(\[([ROYGBPTQUXZC_]|1?[0-9])\])"", ""[img=45]res://textures/icons/$2.png[/img]""),""--"",""—""),""-&gt;"",""•""),""~@"", CONCATENATE(""["&amp;"i]"",REGEXEXTRACT(B284,""^([\s\S]*),|$""),""[/i]"")),""~"", CONCATENATE(""[i]"",B284,""[/i]"")),""(\([\s\S]*?\))"",""[i][color=#34343A]$0[/color][/i]""), ""&lt;"", ""[""), ""&gt;"", ""]""), ""[/p][p]"", ""[font_size=15]\n\n[/font_size]""), ""[br/]"", ""\n"")"),"")</f>
        <v/>
      </c>
      <c r="W284" s="6" t="str">
        <f t="shared" si="19"/>
        <v>[i][/i]</v>
      </c>
      <c r="X284" s="1" t="str">
        <f t="shared" si="20"/>
        <v>0</v>
      </c>
      <c r="Y284" s="1"/>
    </row>
    <row r="285">
      <c r="A285" s="7" t="s">
        <v>75</v>
      </c>
      <c r="B285" s="6" t="str">
        <f t="shared" si="17"/>
        <v>U</v>
      </c>
      <c r="C285" s="8"/>
      <c r="D285" s="9" t="str">
        <f>IFERROR(__xludf.DUMMYFUNCTION("IF(ISBLANK(A285),"""",SWITCH(IF(T285="""",0,COUNTA(SPLIT(T285,"" ""))),0,""Generic"",1,TRIM(T285),2,""Multicolor"",3,""Multicolor"",4,""Multicolor"",5,""Multicolor"",6,""Multicolor"",7,""Multicolor"",8,""Multicolor""))"),"Generic")</f>
        <v>Generic</v>
      </c>
      <c r="E285" s="1"/>
      <c r="F285" s="1"/>
      <c r="H285" s="10"/>
      <c r="I285" s="11"/>
      <c r="J285" s="11"/>
      <c r="K285" s="6" t="s">
        <v>39</v>
      </c>
      <c r="L285" s="6" t="s">
        <v>39</v>
      </c>
      <c r="O285" s="11"/>
      <c r="Q285" s="7">
        <v>60</v>
      </c>
      <c r="R285" s="7">
        <v>50</v>
      </c>
      <c r="S285" s="1" t="str">
        <f t="shared" si="18"/>
        <v>False</v>
      </c>
      <c r="T285" s="6" t="str">
        <f>IFERROR(__xludf.DUMMYFUNCTION("CONCATENATE(if(REGEXMATCH(C285,""R""),"" Red"",""""),if(REGEXMATCH(C285,""O""),"" Orange"",""""),if(REGEXMATCH(C285,""Y""),"" Yellow"",""""),if(REGEXMATCH(C285,""G""),"" Green"",""""),if(REGEXMATCH(C285,""B""),"" Blue"",""""),if(REGEXMATCH(C285,""P""),"" "&amp;"Purple"",""""))"),"")</f>
        <v/>
      </c>
      <c r="U285" s="6" t="str">
        <f>IFERROR(__xludf.DUMMYFUNCTION("TRIM(CONCAT(""[right]"", REGEXREPLACE(C285, ""([ROYGBPXZC_]|1?[0-9])"", ""[img=119]res://textures/icons/$0.png[/img]\\n"")))"),"[right]")</f>
        <v>[right]</v>
      </c>
      <c r="V285" s="1" t="str">
        <f>IFERROR(__xludf.DUMMYFUNCTION("SUBSTITUTE(SUBSTITUTE(SUBSTITUTE(SUBSTITUTE(REGEXREPLACE(SUBSTITUTE(SUBSTITUTE(SUBSTITUTE(SUBSTITUTE(REGEXREPLACE(I285, ""(\[([ROYGBPTQUXZC_]|1?[0-9])\])"", ""[img=45]res://textures/icons/$2.png[/img]""),""--"",""—""),""-&gt;"",""•""),""~@"", CONCATENATE(""["&amp;"i]"",REGEXEXTRACT(B285,""^([\s\S]*),|$""),""[/i]"")),""~"", CONCATENATE(""[i]"",B285,""[/i]"")),""(\([\s\S]*?\))"",""[i][color=#34343A]$0[/color][/i]""), ""&lt;"", ""[""), ""&gt;"", ""]""), ""[/p][p]"", ""[font_size=15]\n\n[/font_size]""), ""[br/]"", ""\n"")"),"")</f>
        <v/>
      </c>
      <c r="W285" s="6" t="str">
        <f t="shared" si="19"/>
        <v>[i][/i]</v>
      </c>
      <c r="X285" s="1" t="str">
        <f t="shared" si="20"/>
        <v>0</v>
      </c>
      <c r="Y285" s="1"/>
    </row>
    <row r="286">
      <c r="A286" s="7" t="s">
        <v>75</v>
      </c>
      <c r="B286" s="6" t="str">
        <f t="shared" si="17"/>
        <v>U</v>
      </c>
      <c r="C286" s="8"/>
      <c r="D286" s="9" t="str">
        <f>IFERROR(__xludf.DUMMYFUNCTION("IF(ISBLANK(A286),"""",SWITCH(IF(T286="""",0,COUNTA(SPLIT(T286,"" ""))),0,""Generic"",1,TRIM(T286),2,""Multicolor"",3,""Multicolor"",4,""Multicolor"",5,""Multicolor"",6,""Multicolor"",7,""Multicolor"",8,""Multicolor""))"),"Generic")</f>
        <v>Generic</v>
      </c>
      <c r="E286" s="1"/>
      <c r="F286" s="1"/>
      <c r="H286" s="10"/>
      <c r="I286" s="11"/>
      <c r="J286" s="11"/>
      <c r="K286" s="6" t="s">
        <v>39</v>
      </c>
      <c r="L286" s="6" t="s">
        <v>39</v>
      </c>
      <c r="O286" s="11"/>
      <c r="Q286" s="7">
        <v>60</v>
      </c>
      <c r="R286" s="7">
        <v>50</v>
      </c>
      <c r="S286" s="1" t="str">
        <f t="shared" si="18"/>
        <v>False</v>
      </c>
      <c r="T286" s="6" t="str">
        <f>IFERROR(__xludf.DUMMYFUNCTION("CONCATENATE(if(REGEXMATCH(C286,""R""),"" Red"",""""),if(REGEXMATCH(C286,""O""),"" Orange"",""""),if(REGEXMATCH(C286,""Y""),"" Yellow"",""""),if(REGEXMATCH(C286,""G""),"" Green"",""""),if(REGEXMATCH(C286,""B""),"" Blue"",""""),if(REGEXMATCH(C286,""P""),"" "&amp;"Purple"",""""))"),"")</f>
        <v/>
      </c>
      <c r="U286" s="6" t="str">
        <f>IFERROR(__xludf.DUMMYFUNCTION("TRIM(CONCAT(""[right]"", REGEXREPLACE(C286, ""([ROYGBPXZC_]|1?[0-9])"", ""[img=119]res://textures/icons/$0.png[/img]\\n"")))"),"[right]")</f>
        <v>[right]</v>
      </c>
      <c r="V286" s="1" t="str">
        <f>IFERROR(__xludf.DUMMYFUNCTION("SUBSTITUTE(SUBSTITUTE(SUBSTITUTE(SUBSTITUTE(REGEXREPLACE(SUBSTITUTE(SUBSTITUTE(SUBSTITUTE(SUBSTITUTE(REGEXREPLACE(I286, ""(\[([ROYGBPTQUXZC_]|1?[0-9])\])"", ""[img=45]res://textures/icons/$2.png[/img]""),""--"",""—""),""-&gt;"",""•""),""~@"", CONCATENATE(""["&amp;"i]"",REGEXEXTRACT(B286,""^([\s\S]*),|$""),""[/i]"")),""~"", CONCATENATE(""[i]"",B286,""[/i]"")),""(\([\s\S]*?\))"",""[i][color=#34343A]$0[/color][/i]""), ""&lt;"", ""[""), ""&gt;"", ""]""), ""[/p][p]"", ""[font_size=15]\n\n[/font_size]""), ""[br/]"", ""\n"")"),"")</f>
        <v/>
      </c>
      <c r="W286" s="6" t="str">
        <f t="shared" si="19"/>
        <v>[i][/i]</v>
      </c>
      <c r="X286" s="1" t="str">
        <f t="shared" si="20"/>
        <v>0</v>
      </c>
      <c r="Y286" s="1"/>
    </row>
    <row r="287">
      <c r="A287" s="7" t="s">
        <v>75</v>
      </c>
      <c r="B287" s="6" t="str">
        <f t="shared" si="17"/>
        <v>U</v>
      </c>
      <c r="C287" s="8"/>
      <c r="D287" s="9" t="str">
        <f>IFERROR(__xludf.DUMMYFUNCTION("IF(ISBLANK(A287),"""",SWITCH(IF(T287="""",0,COUNTA(SPLIT(T287,"" ""))),0,""Generic"",1,TRIM(T287),2,""Multicolor"",3,""Multicolor"",4,""Multicolor"",5,""Multicolor"",6,""Multicolor"",7,""Multicolor"",8,""Multicolor""))"),"Generic")</f>
        <v>Generic</v>
      </c>
      <c r="E287" s="1"/>
      <c r="F287" s="1"/>
      <c r="H287" s="10"/>
      <c r="I287" s="11"/>
      <c r="J287" s="11"/>
      <c r="K287" s="6" t="s">
        <v>39</v>
      </c>
      <c r="L287" s="6" t="s">
        <v>39</v>
      </c>
      <c r="O287" s="11"/>
      <c r="Q287" s="7">
        <v>60</v>
      </c>
      <c r="R287" s="7">
        <v>50</v>
      </c>
      <c r="S287" s="1" t="str">
        <f t="shared" si="18"/>
        <v>False</v>
      </c>
      <c r="T287" s="6" t="str">
        <f>IFERROR(__xludf.DUMMYFUNCTION("CONCATENATE(if(REGEXMATCH(C287,""R""),"" Red"",""""),if(REGEXMATCH(C287,""O""),"" Orange"",""""),if(REGEXMATCH(C287,""Y""),"" Yellow"",""""),if(REGEXMATCH(C287,""G""),"" Green"",""""),if(REGEXMATCH(C287,""B""),"" Blue"",""""),if(REGEXMATCH(C287,""P""),"" "&amp;"Purple"",""""))"),"")</f>
        <v/>
      </c>
      <c r="U287" s="6" t="str">
        <f>IFERROR(__xludf.DUMMYFUNCTION("TRIM(CONCAT(""[right]"", REGEXREPLACE(C287, ""([ROYGBPXZC_]|1?[0-9])"", ""[img=119]res://textures/icons/$0.png[/img]\\n"")))"),"[right]")</f>
        <v>[right]</v>
      </c>
      <c r="V287" s="1" t="str">
        <f>IFERROR(__xludf.DUMMYFUNCTION("SUBSTITUTE(SUBSTITUTE(SUBSTITUTE(SUBSTITUTE(REGEXREPLACE(SUBSTITUTE(SUBSTITUTE(SUBSTITUTE(SUBSTITUTE(REGEXREPLACE(I287, ""(\[([ROYGBPTQUXZC_]|1?[0-9])\])"", ""[img=45]res://textures/icons/$2.png[/img]""),""--"",""—""),""-&gt;"",""•""),""~@"", CONCATENATE(""["&amp;"i]"",REGEXEXTRACT(B287,""^([\s\S]*),|$""),""[/i]"")),""~"", CONCATENATE(""[i]"",B287,""[/i]"")),""(\([\s\S]*?\))"",""[i][color=#34343A]$0[/color][/i]""), ""&lt;"", ""[""), ""&gt;"", ""]""), ""[/p][p]"", ""[font_size=15]\n\n[/font_size]""), ""[br/]"", ""\n"")"),"")</f>
        <v/>
      </c>
      <c r="W287" s="6" t="str">
        <f t="shared" si="19"/>
        <v>[i][/i]</v>
      </c>
      <c r="X287" s="1" t="str">
        <f t="shared" si="20"/>
        <v>0</v>
      </c>
      <c r="Y287" s="1"/>
    </row>
    <row r="288">
      <c r="A288" s="7" t="s">
        <v>75</v>
      </c>
      <c r="B288" s="6" t="str">
        <f t="shared" si="17"/>
        <v>U</v>
      </c>
      <c r="C288" s="8"/>
      <c r="D288" s="9" t="str">
        <f>IFERROR(__xludf.DUMMYFUNCTION("IF(ISBLANK(A288),"""",SWITCH(IF(T288="""",0,COUNTA(SPLIT(T288,"" ""))),0,""Generic"",1,TRIM(T288),2,""Multicolor"",3,""Multicolor"",4,""Multicolor"",5,""Multicolor"",6,""Multicolor"",7,""Multicolor"",8,""Multicolor""))"),"Generic")</f>
        <v>Generic</v>
      </c>
      <c r="E288" s="1"/>
      <c r="F288" s="1"/>
      <c r="H288" s="10"/>
      <c r="I288" s="11"/>
      <c r="J288" s="11"/>
      <c r="K288" s="6" t="s">
        <v>39</v>
      </c>
      <c r="L288" s="6" t="s">
        <v>39</v>
      </c>
      <c r="O288" s="11"/>
      <c r="Q288" s="7">
        <v>60</v>
      </c>
      <c r="R288" s="7">
        <v>50</v>
      </c>
      <c r="S288" s="1" t="str">
        <f t="shared" si="18"/>
        <v>False</v>
      </c>
      <c r="T288" s="6" t="str">
        <f>IFERROR(__xludf.DUMMYFUNCTION("CONCATENATE(if(REGEXMATCH(C288,""R""),"" Red"",""""),if(REGEXMATCH(C288,""O""),"" Orange"",""""),if(REGEXMATCH(C288,""Y""),"" Yellow"",""""),if(REGEXMATCH(C288,""G""),"" Green"",""""),if(REGEXMATCH(C288,""B""),"" Blue"",""""),if(REGEXMATCH(C288,""P""),"" "&amp;"Purple"",""""))"),"")</f>
        <v/>
      </c>
      <c r="U288" s="6" t="str">
        <f>IFERROR(__xludf.DUMMYFUNCTION("TRIM(CONCAT(""[right]"", REGEXREPLACE(C288, ""([ROYGBPXZC_]|1?[0-9])"", ""[img=119]res://textures/icons/$0.png[/img]\\n"")))"),"[right]")</f>
        <v>[right]</v>
      </c>
      <c r="V288" s="1" t="str">
        <f>IFERROR(__xludf.DUMMYFUNCTION("SUBSTITUTE(SUBSTITUTE(SUBSTITUTE(SUBSTITUTE(REGEXREPLACE(SUBSTITUTE(SUBSTITUTE(SUBSTITUTE(SUBSTITUTE(REGEXREPLACE(I288, ""(\[([ROYGBPTQUXZC_]|1?[0-9])\])"", ""[img=45]res://textures/icons/$2.png[/img]""),""--"",""—""),""-&gt;"",""•""),""~@"", CONCATENATE(""["&amp;"i]"",REGEXEXTRACT(B288,""^([\s\S]*),|$""),""[/i]"")),""~"", CONCATENATE(""[i]"",B288,""[/i]"")),""(\([\s\S]*?\))"",""[i][color=#34343A]$0[/color][/i]""), ""&lt;"", ""[""), ""&gt;"", ""]""), ""[/p][p]"", ""[font_size=15]\n\n[/font_size]""), ""[br/]"", ""\n"")"),"")</f>
        <v/>
      </c>
      <c r="W288" s="6" t="str">
        <f t="shared" si="19"/>
        <v>[i][/i]</v>
      </c>
      <c r="X288" s="1" t="str">
        <f t="shared" si="20"/>
        <v>0</v>
      </c>
      <c r="Y288" s="1"/>
    </row>
    <row r="289">
      <c r="A289" s="7" t="s">
        <v>76</v>
      </c>
      <c r="B289" s="6" t="str">
        <f t="shared" si="17"/>
        <v>C</v>
      </c>
      <c r="C289" s="8"/>
      <c r="D289" s="9" t="str">
        <f>IFERROR(__xludf.DUMMYFUNCTION("IF(ISBLANK(A289),"""",SWITCH(IF(T289="""",0,COUNTA(SPLIT(T289,"" ""))),0,""Generic"",1,TRIM(T289),2,""Multicolor"",3,""Multicolor"",4,""Multicolor"",5,""Multicolor"",6,""Multicolor"",7,""Multicolor"",8,""Multicolor""))"),"Generic")</f>
        <v>Generic</v>
      </c>
      <c r="E289" s="1"/>
      <c r="F289" s="1"/>
      <c r="H289" s="10"/>
      <c r="I289" s="11"/>
      <c r="J289" s="11"/>
      <c r="K289" s="6" t="s">
        <v>39</v>
      </c>
      <c r="L289" s="6" t="s">
        <v>39</v>
      </c>
      <c r="O289" s="11"/>
      <c r="Q289" s="7">
        <v>60</v>
      </c>
      <c r="R289" s="7">
        <v>50</v>
      </c>
      <c r="S289" s="1" t="str">
        <f t="shared" si="18"/>
        <v>False</v>
      </c>
      <c r="T289" s="6" t="str">
        <f>IFERROR(__xludf.DUMMYFUNCTION("CONCATENATE(if(REGEXMATCH(C289,""R""),"" Red"",""""),if(REGEXMATCH(C289,""O""),"" Orange"",""""),if(REGEXMATCH(C289,""Y""),"" Yellow"",""""),if(REGEXMATCH(C289,""G""),"" Green"",""""),if(REGEXMATCH(C289,""B""),"" Blue"",""""),if(REGEXMATCH(C289,""P""),"" "&amp;"Purple"",""""))"),"")</f>
        <v/>
      </c>
      <c r="U289" s="6" t="str">
        <f>IFERROR(__xludf.DUMMYFUNCTION("TRIM(CONCAT(""[right]"", REGEXREPLACE(C289, ""([ROYGBPXZC_]|1?[0-9])"", ""[img=119]res://textures/icons/$0.png[/img]\\n"")))"),"[right]")</f>
        <v>[right]</v>
      </c>
      <c r="V289" s="1" t="str">
        <f>IFERROR(__xludf.DUMMYFUNCTION("SUBSTITUTE(SUBSTITUTE(SUBSTITUTE(SUBSTITUTE(REGEXREPLACE(SUBSTITUTE(SUBSTITUTE(SUBSTITUTE(SUBSTITUTE(REGEXREPLACE(I289, ""(\[([ROYGBPTQUXZC_]|1?[0-9])\])"", ""[img=45]res://textures/icons/$2.png[/img]""),""--"",""—""),""-&gt;"",""•""),""~@"", CONCATENATE(""["&amp;"i]"",REGEXEXTRACT(B289,""^([\s\S]*),|$""),""[/i]"")),""~"", CONCATENATE(""[i]"",B289,""[/i]"")),""(\([\s\S]*?\))"",""[i][color=#34343A]$0[/color][/i]""), ""&lt;"", ""[""), ""&gt;"", ""]""), ""[/p][p]"", ""[font_size=15]\n\n[/font_size]""), ""[br/]"", ""\n"")"),"")</f>
        <v/>
      </c>
      <c r="W289" s="6" t="str">
        <f t="shared" si="19"/>
        <v>[i][/i]</v>
      </c>
      <c r="X289" s="1" t="str">
        <f t="shared" si="20"/>
        <v>0</v>
      </c>
      <c r="Y289" s="1"/>
    </row>
    <row r="290">
      <c r="A290" s="7" t="s">
        <v>76</v>
      </c>
      <c r="B290" s="6" t="str">
        <f t="shared" si="17"/>
        <v>C</v>
      </c>
      <c r="C290" s="8"/>
      <c r="D290" s="9" t="str">
        <f>IFERROR(__xludf.DUMMYFUNCTION("IF(ISBLANK(A290),"""",SWITCH(IF(T290="""",0,COUNTA(SPLIT(T290,"" ""))),0,""Generic"",1,TRIM(T290),2,""Multicolor"",3,""Multicolor"",4,""Multicolor"",5,""Multicolor"",6,""Multicolor"",7,""Multicolor"",8,""Multicolor""))"),"Generic")</f>
        <v>Generic</v>
      </c>
      <c r="E290" s="1"/>
      <c r="F290" s="1"/>
      <c r="H290" s="10"/>
      <c r="I290" s="11"/>
      <c r="J290" s="11"/>
      <c r="K290" s="6" t="s">
        <v>39</v>
      </c>
      <c r="L290" s="6" t="s">
        <v>39</v>
      </c>
      <c r="O290" s="11"/>
      <c r="Q290" s="7">
        <v>60</v>
      </c>
      <c r="R290" s="7">
        <v>50</v>
      </c>
      <c r="S290" s="1" t="str">
        <f t="shared" si="18"/>
        <v>False</v>
      </c>
      <c r="T290" s="6" t="str">
        <f>IFERROR(__xludf.DUMMYFUNCTION("CONCATENATE(if(REGEXMATCH(C290,""R""),"" Red"",""""),if(REGEXMATCH(C290,""O""),"" Orange"",""""),if(REGEXMATCH(C290,""Y""),"" Yellow"",""""),if(REGEXMATCH(C290,""G""),"" Green"",""""),if(REGEXMATCH(C290,""B""),"" Blue"",""""),if(REGEXMATCH(C290,""P""),"" "&amp;"Purple"",""""))"),"")</f>
        <v/>
      </c>
      <c r="U290" s="6" t="str">
        <f>IFERROR(__xludf.DUMMYFUNCTION("TRIM(CONCAT(""[right]"", REGEXREPLACE(C290, ""([ROYGBPXZC_]|1?[0-9])"", ""[img=119]res://textures/icons/$0.png[/img]\\n"")))"),"[right]")</f>
        <v>[right]</v>
      </c>
      <c r="V290" s="1" t="str">
        <f>IFERROR(__xludf.DUMMYFUNCTION("SUBSTITUTE(SUBSTITUTE(SUBSTITUTE(SUBSTITUTE(REGEXREPLACE(SUBSTITUTE(SUBSTITUTE(SUBSTITUTE(SUBSTITUTE(REGEXREPLACE(I290, ""(\[([ROYGBPTQUXZC_]|1?[0-9])\])"", ""[img=45]res://textures/icons/$2.png[/img]""),""--"",""—""),""-&gt;"",""•""),""~@"", CONCATENATE(""["&amp;"i]"",REGEXEXTRACT(B290,""^([\s\S]*),|$""),""[/i]"")),""~"", CONCATENATE(""[i]"",B290,""[/i]"")),""(\([\s\S]*?\))"",""[i][color=#34343A]$0[/color][/i]""), ""&lt;"", ""[""), ""&gt;"", ""]""), ""[/p][p]"", ""[font_size=15]\n\n[/font_size]""), ""[br/]"", ""\n"")"),"")</f>
        <v/>
      </c>
      <c r="W290" s="6" t="str">
        <f t="shared" si="19"/>
        <v>[i][/i]</v>
      </c>
      <c r="X290" s="1" t="str">
        <f t="shared" si="20"/>
        <v>0</v>
      </c>
      <c r="Y290" s="1"/>
    </row>
    <row r="291">
      <c r="A291" s="7" t="s">
        <v>76</v>
      </c>
      <c r="B291" s="6" t="str">
        <f t="shared" si="17"/>
        <v>C</v>
      </c>
      <c r="C291" s="8"/>
      <c r="D291" s="9" t="str">
        <f>IFERROR(__xludf.DUMMYFUNCTION("IF(ISBLANK(A291),"""",SWITCH(IF(T291="""",0,COUNTA(SPLIT(T291,"" ""))),0,""Generic"",1,TRIM(T291),2,""Multicolor"",3,""Multicolor"",4,""Multicolor"",5,""Multicolor"",6,""Multicolor"",7,""Multicolor"",8,""Multicolor""))"),"Generic")</f>
        <v>Generic</v>
      </c>
      <c r="E291" s="1"/>
      <c r="F291" s="1"/>
      <c r="H291" s="10"/>
      <c r="I291" s="11"/>
      <c r="J291" s="11"/>
      <c r="K291" s="6" t="s">
        <v>39</v>
      </c>
      <c r="L291" s="6" t="s">
        <v>39</v>
      </c>
      <c r="O291" s="11"/>
      <c r="Q291" s="7">
        <v>60</v>
      </c>
      <c r="R291" s="7">
        <v>50</v>
      </c>
      <c r="S291" s="1" t="str">
        <f t="shared" si="18"/>
        <v>False</v>
      </c>
      <c r="T291" s="6" t="str">
        <f>IFERROR(__xludf.DUMMYFUNCTION("CONCATENATE(if(REGEXMATCH(C291,""R""),"" Red"",""""),if(REGEXMATCH(C291,""O""),"" Orange"",""""),if(REGEXMATCH(C291,""Y""),"" Yellow"",""""),if(REGEXMATCH(C291,""G""),"" Green"",""""),if(REGEXMATCH(C291,""B""),"" Blue"",""""),if(REGEXMATCH(C291,""P""),"" "&amp;"Purple"",""""))"),"")</f>
        <v/>
      </c>
      <c r="U291" s="6" t="str">
        <f>IFERROR(__xludf.DUMMYFUNCTION("TRIM(CONCAT(""[right]"", REGEXREPLACE(C291, ""([ROYGBPXZC_]|1?[0-9])"", ""[img=119]res://textures/icons/$0.png[/img]\\n"")))"),"[right]")</f>
        <v>[right]</v>
      </c>
      <c r="V291" s="1" t="str">
        <f>IFERROR(__xludf.DUMMYFUNCTION("SUBSTITUTE(SUBSTITUTE(SUBSTITUTE(SUBSTITUTE(REGEXREPLACE(SUBSTITUTE(SUBSTITUTE(SUBSTITUTE(SUBSTITUTE(REGEXREPLACE(I291, ""(\[([ROYGBPTQUXZC_]|1?[0-9])\])"", ""[img=45]res://textures/icons/$2.png[/img]""),""--"",""—""),""-&gt;"",""•""),""~@"", CONCATENATE(""["&amp;"i]"",REGEXEXTRACT(B291,""^([\s\S]*),|$""),""[/i]"")),""~"", CONCATENATE(""[i]"",B291,""[/i]"")),""(\([\s\S]*?\))"",""[i][color=#34343A]$0[/color][/i]""), ""&lt;"", ""[""), ""&gt;"", ""]""), ""[/p][p]"", ""[font_size=15]\n\n[/font_size]""), ""[br/]"", ""\n"")"),"")</f>
        <v/>
      </c>
      <c r="W291" s="6" t="str">
        <f t="shared" si="19"/>
        <v>[i][/i]</v>
      </c>
      <c r="X291" s="1" t="str">
        <f t="shared" si="20"/>
        <v>0</v>
      </c>
      <c r="Y291" s="1"/>
    </row>
    <row r="292">
      <c r="A292" s="7" t="s">
        <v>76</v>
      </c>
      <c r="B292" s="6" t="str">
        <f t="shared" si="17"/>
        <v>C</v>
      </c>
      <c r="C292" s="8"/>
      <c r="D292" s="9" t="str">
        <f>IFERROR(__xludf.DUMMYFUNCTION("IF(ISBLANK(A292),"""",SWITCH(IF(T292="""",0,COUNTA(SPLIT(T292,"" ""))),0,""Generic"",1,TRIM(T292),2,""Multicolor"",3,""Multicolor"",4,""Multicolor"",5,""Multicolor"",6,""Multicolor"",7,""Multicolor"",8,""Multicolor""))"),"Generic")</f>
        <v>Generic</v>
      </c>
      <c r="E292" s="1"/>
      <c r="F292" s="1"/>
      <c r="H292" s="10"/>
      <c r="I292" s="11"/>
      <c r="J292" s="11"/>
      <c r="K292" s="6" t="s">
        <v>39</v>
      </c>
      <c r="L292" s="6" t="s">
        <v>39</v>
      </c>
      <c r="O292" s="11"/>
      <c r="Q292" s="7">
        <v>60</v>
      </c>
      <c r="R292" s="7">
        <v>50</v>
      </c>
      <c r="S292" s="1" t="str">
        <f t="shared" si="18"/>
        <v>False</v>
      </c>
      <c r="T292" s="6" t="str">
        <f>IFERROR(__xludf.DUMMYFUNCTION("CONCATENATE(if(REGEXMATCH(C292,""R""),"" Red"",""""),if(REGEXMATCH(C292,""O""),"" Orange"",""""),if(REGEXMATCH(C292,""Y""),"" Yellow"",""""),if(REGEXMATCH(C292,""G""),"" Green"",""""),if(REGEXMATCH(C292,""B""),"" Blue"",""""),if(REGEXMATCH(C292,""P""),"" "&amp;"Purple"",""""))"),"")</f>
        <v/>
      </c>
      <c r="U292" s="6" t="str">
        <f>IFERROR(__xludf.DUMMYFUNCTION("TRIM(CONCAT(""[right]"", REGEXREPLACE(C292, ""([ROYGBPXZC_]|1?[0-9])"", ""[img=119]res://textures/icons/$0.png[/img]\\n"")))"),"[right]")</f>
        <v>[right]</v>
      </c>
      <c r="V292" s="1" t="str">
        <f>IFERROR(__xludf.DUMMYFUNCTION("SUBSTITUTE(SUBSTITUTE(SUBSTITUTE(SUBSTITUTE(REGEXREPLACE(SUBSTITUTE(SUBSTITUTE(SUBSTITUTE(SUBSTITUTE(REGEXREPLACE(I292, ""(\[([ROYGBPTQUXZC_]|1?[0-9])\])"", ""[img=45]res://textures/icons/$2.png[/img]""),""--"",""—""),""-&gt;"",""•""),""~@"", CONCATENATE(""["&amp;"i]"",REGEXEXTRACT(B292,""^([\s\S]*),|$""),""[/i]"")),""~"", CONCATENATE(""[i]"",B292,""[/i]"")),""(\([\s\S]*?\))"",""[i][color=#34343A]$0[/color][/i]""), ""&lt;"", ""[""), ""&gt;"", ""]""), ""[/p][p]"", ""[font_size=15]\n\n[/font_size]""), ""[br/]"", ""\n"")"),"")</f>
        <v/>
      </c>
      <c r="W292" s="6" t="str">
        <f t="shared" si="19"/>
        <v>[i][/i]</v>
      </c>
      <c r="X292" s="1" t="str">
        <f t="shared" si="20"/>
        <v>0</v>
      </c>
      <c r="Y292" s="1"/>
    </row>
    <row r="293">
      <c r="A293" s="7" t="s">
        <v>76</v>
      </c>
      <c r="B293" s="6" t="str">
        <f t="shared" si="17"/>
        <v>C</v>
      </c>
      <c r="C293" s="8"/>
      <c r="D293" s="9" t="str">
        <f>IFERROR(__xludf.DUMMYFUNCTION("IF(ISBLANK(A293),"""",SWITCH(IF(T293="""",0,COUNTA(SPLIT(T293,"" ""))),0,""Generic"",1,TRIM(T293),2,""Multicolor"",3,""Multicolor"",4,""Multicolor"",5,""Multicolor"",6,""Multicolor"",7,""Multicolor"",8,""Multicolor""))"),"Generic")</f>
        <v>Generic</v>
      </c>
      <c r="E293" s="1"/>
      <c r="F293" s="1"/>
      <c r="H293" s="10"/>
      <c r="I293" s="11"/>
      <c r="J293" s="11"/>
      <c r="K293" s="6" t="s">
        <v>39</v>
      </c>
      <c r="L293" s="6" t="s">
        <v>39</v>
      </c>
      <c r="O293" s="11"/>
      <c r="Q293" s="7">
        <v>60</v>
      </c>
      <c r="R293" s="7">
        <v>50</v>
      </c>
      <c r="S293" s="1" t="str">
        <f t="shared" si="18"/>
        <v>False</v>
      </c>
      <c r="T293" s="6" t="str">
        <f>IFERROR(__xludf.DUMMYFUNCTION("CONCATENATE(if(REGEXMATCH(C293,""R""),"" Red"",""""),if(REGEXMATCH(C293,""O""),"" Orange"",""""),if(REGEXMATCH(C293,""Y""),"" Yellow"",""""),if(REGEXMATCH(C293,""G""),"" Green"",""""),if(REGEXMATCH(C293,""B""),"" Blue"",""""),if(REGEXMATCH(C293,""P""),"" "&amp;"Purple"",""""))"),"")</f>
        <v/>
      </c>
      <c r="U293" s="6" t="str">
        <f>IFERROR(__xludf.DUMMYFUNCTION("TRIM(CONCAT(""[right]"", REGEXREPLACE(C293, ""([ROYGBPXZC_]|1?[0-9])"", ""[img=119]res://textures/icons/$0.png[/img]\\n"")))"),"[right]")</f>
        <v>[right]</v>
      </c>
      <c r="V293" s="1" t="str">
        <f>IFERROR(__xludf.DUMMYFUNCTION("SUBSTITUTE(SUBSTITUTE(SUBSTITUTE(SUBSTITUTE(REGEXREPLACE(SUBSTITUTE(SUBSTITUTE(SUBSTITUTE(SUBSTITUTE(REGEXREPLACE(I293, ""(\[([ROYGBPTQUXZC_]|1?[0-9])\])"", ""[img=45]res://textures/icons/$2.png[/img]""),""--"",""—""),""-&gt;"",""•""),""~@"", CONCATENATE(""["&amp;"i]"",REGEXEXTRACT(B293,""^([\s\S]*),|$""),""[/i]"")),""~"", CONCATENATE(""[i]"",B293,""[/i]"")),""(\([\s\S]*?\))"",""[i][color=#34343A]$0[/color][/i]""), ""&lt;"", ""[""), ""&gt;"", ""]""), ""[/p][p]"", ""[font_size=15]\n\n[/font_size]""), ""[br/]"", ""\n"")"),"")</f>
        <v/>
      </c>
      <c r="W293" s="6" t="str">
        <f t="shared" si="19"/>
        <v>[i][/i]</v>
      </c>
      <c r="X293" s="1" t="str">
        <f t="shared" si="20"/>
        <v>0</v>
      </c>
      <c r="Y293" s="1"/>
    </row>
    <row r="294">
      <c r="A294" s="7" t="s">
        <v>76</v>
      </c>
      <c r="B294" s="6" t="str">
        <f t="shared" si="17"/>
        <v>C</v>
      </c>
      <c r="C294" s="8"/>
      <c r="D294" s="9" t="str">
        <f>IFERROR(__xludf.DUMMYFUNCTION("IF(ISBLANK(A294),"""",SWITCH(IF(T294="""",0,COUNTA(SPLIT(T294,"" ""))),0,""Generic"",1,TRIM(T294),2,""Multicolor"",3,""Multicolor"",4,""Multicolor"",5,""Multicolor"",6,""Multicolor"",7,""Multicolor"",8,""Multicolor""))"),"Generic")</f>
        <v>Generic</v>
      </c>
      <c r="E294" s="1"/>
      <c r="F294" s="1"/>
      <c r="H294" s="10"/>
      <c r="I294" s="11"/>
      <c r="J294" s="11"/>
      <c r="K294" s="6" t="s">
        <v>39</v>
      </c>
      <c r="L294" s="6" t="s">
        <v>39</v>
      </c>
      <c r="O294" s="11"/>
      <c r="Q294" s="7">
        <v>60</v>
      </c>
      <c r="R294" s="7">
        <v>50</v>
      </c>
      <c r="S294" s="1" t="str">
        <f t="shared" si="18"/>
        <v>False</v>
      </c>
      <c r="T294" s="6" t="str">
        <f>IFERROR(__xludf.DUMMYFUNCTION("CONCATENATE(if(REGEXMATCH(C294,""R""),"" Red"",""""),if(REGEXMATCH(C294,""O""),"" Orange"",""""),if(REGEXMATCH(C294,""Y""),"" Yellow"",""""),if(REGEXMATCH(C294,""G""),"" Green"",""""),if(REGEXMATCH(C294,""B""),"" Blue"",""""),if(REGEXMATCH(C294,""P""),"" "&amp;"Purple"",""""))"),"")</f>
        <v/>
      </c>
      <c r="U294" s="6" t="str">
        <f>IFERROR(__xludf.DUMMYFUNCTION("TRIM(CONCAT(""[right]"", REGEXREPLACE(C294, ""([ROYGBPXZC_]|1?[0-9])"", ""[img=119]res://textures/icons/$0.png[/img]\\n"")))"),"[right]")</f>
        <v>[right]</v>
      </c>
      <c r="V294" s="1" t="str">
        <f>IFERROR(__xludf.DUMMYFUNCTION("SUBSTITUTE(SUBSTITUTE(SUBSTITUTE(SUBSTITUTE(REGEXREPLACE(SUBSTITUTE(SUBSTITUTE(SUBSTITUTE(SUBSTITUTE(REGEXREPLACE(I294, ""(\[([ROYGBPTQUXZC_]|1?[0-9])\])"", ""[img=45]res://textures/icons/$2.png[/img]""),""--"",""—""),""-&gt;"",""•""),""~@"", CONCATENATE(""["&amp;"i]"",REGEXEXTRACT(B294,""^([\s\S]*),|$""),""[/i]"")),""~"", CONCATENATE(""[i]"",B294,""[/i]"")),""(\([\s\S]*?\))"",""[i][color=#34343A]$0[/color][/i]""), ""&lt;"", ""[""), ""&gt;"", ""]""), ""[/p][p]"", ""[font_size=15]\n\n[/font_size]""), ""[br/]"", ""\n"")"),"")</f>
        <v/>
      </c>
      <c r="W294" s="6" t="str">
        <f t="shared" si="19"/>
        <v>[i][/i]</v>
      </c>
      <c r="X294" s="1" t="str">
        <f t="shared" si="20"/>
        <v>0</v>
      </c>
      <c r="Y294" s="1"/>
    </row>
    <row r="295">
      <c r="A295" s="7" t="s">
        <v>76</v>
      </c>
      <c r="B295" s="6" t="str">
        <f t="shared" ref="B295:B317" si="21">A295</f>
        <v>C</v>
      </c>
      <c r="C295" s="8"/>
      <c r="D295" s="9" t="str">
        <f>IFERROR(__xludf.DUMMYFUNCTION("IF(ISBLANK(A295),"""",SWITCH(IF(T295="""",0,COUNTA(SPLIT(T295,"" ""))),0,""Generic"",1,TRIM(T295),2,""Multicolor"",3,""Multicolor"",4,""Multicolor"",5,""Multicolor"",6,""Multicolor"",7,""Multicolor"",8,""Multicolor""))"),"Generic")</f>
        <v>Generic</v>
      </c>
      <c r="E295" s="1"/>
      <c r="F295" s="1"/>
      <c r="H295" s="10"/>
      <c r="I295" s="11"/>
      <c r="J295" s="11"/>
      <c r="K295" s="6" t="s">
        <v>39</v>
      </c>
      <c r="L295" s="6" t="s">
        <v>39</v>
      </c>
      <c r="O295" s="11"/>
      <c r="Q295" s="7">
        <v>60</v>
      </c>
      <c r="R295" s="7">
        <v>50</v>
      </c>
      <c r="S295" s="1" t="str">
        <f t="shared" si="18"/>
        <v>False</v>
      </c>
      <c r="T295" s="6" t="str">
        <f>IFERROR(__xludf.DUMMYFUNCTION("CONCATENATE(if(REGEXMATCH(C295,""R""),"" Red"",""""),if(REGEXMATCH(C295,""O""),"" Orange"",""""),if(REGEXMATCH(C295,""Y""),"" Yellow"",""""),if(REGEXMATCH(C295,""G""),"" Green"",""""),if(REGEXMATCH(C295,""B""),"" Blue"",""""),if(REGEXMATCH(C295,""P""),"" "&amp;"Purple"",""""))"),"")</f>
        <v/>
      </c>
      <c r="U295" s="6" t="str">
        <f>IFERROR(__xludf.DUMMYFUNCTION("TRIM(CONCAT(""[right]"", REGEXREPLACE(C295, ""([ROYGBPXZC_]|1?[0-9])"", ""[img=119]res://textures/icons/$0.png[/img]\\n"")))"),"[right]")</f>
        <v>[right]</v>
      </c>
      <c r="V295" s="1" t="str">
        <f>IFERROR(__xludf.DUMMYFUNCTION("SUBSTITUTE(SUBSTITUTE(SUBSTITUTE(SUBSTITUTE(REGEXREPLACE(SUBSTITUTE(SUBSTITUTE(SUBSTITUTE(SUBSTITUTE(REGEXREPLACE(I295, ""(\[([ROYGBPTQUXZC_]|1?[0-9])\])"", ""[img=45]res://textures/icons/$2.png[/img]""),""--"",""—""),""-&gt;"",""•""),""~@"", CONCATENATE(""["&amp;"i]"",REGEXEXTRACT(B295,""^([\s\S]*),|$""),""[/i]"")),""~"", CONCATENATE(""[i]"",B295,""[/i]"")),""(\([\s\S]*?\))"",""[i][color=#34343A]$0[/color][/i]""), ""&lt;"", ""[""), ""&gt;"", ""]""), ""[/p][p]"", ""[font_size=15]\n\n[/font_size]""), ""[br/]"", ""\n"")"),"")</f>
        <v/>
      </c>
      <c r="W295" s="6" t="str">
        <f t="shared" si="19"/>
        <v>[i][/i]</v>
      </c>
      <c r="X295" s="1" t="str">
        <f t="shared" si="20"/>
        <v>0</v>
      </c>
      <c r="Y295" s="1"/>
    </row>
    <row r="296">
      <c r="A296" s="7" t="s">
        <v>76</v>
      </c>
      <c r="B296" s="6" t="str">
        <f t="shared" si="21"/>
        <v>C</v>
      </c>
      <c r="C296" s="8"/>
      <c r="D296" s="9" t="str">
        <f>IFERROR(__xludf.DUMMYFUNCTION("IF(ISBLANK(A296),"""",SWITCH(IF(T296="""",0,COUNTA(SPLIT(T296,"" ""))),0,""Generic"",1,TRIM(T296),2,""Multicolor"",3,""Multicolor"",4,""Multicolor"",5,""Multicolor"",6,""Multicolor"",7,""Multicolor"",8,""Multicolor""))"),"Generic")</f>
        <v>Generic</v>
      </c>
      <c r="E296" s="1"/>
      <c r="F296" s="1"/>
      <c r="H296" s="10"/>
      <c r="I296" s="11"/>
      <c r="J296" s="11"/>
      <c r="K296" s="6" t="s">
        <v>39</v>
      </c>
      <c r="L296" s="6" t="s">
        <v>39</v>
      </c>
      <c r="O296" s="11"/>
      <c r="Q296" s="7">
        <v>60</v>
      </c>
      <c r="R296" s="7">
        <v>50</v>
      </c>
      <c r="S296" s="1" t="str">
        <f t="shared" si="18"/>
        <v>False</v>
      </c>
      <c r="T296" s="6" t="str">
        <f>IFERROR(__xludf.DUMMYFUNCTION("CONCATENATE(if(REGEXMATCH(C296,""R""),"" Red"",""""),if(REGEXMATCH(C296,""O""),"" Orange"",""""),if(REGEXMATCH(C296,""Y""),"" Yellow"",""""),if(REGEXMATCH(C296,""G""),"" Green"",""""),if(REGEXMATCH(C296,""B""),"" Blue"",""""),if(REGEXMATCH(C296,""P""),"" "&amp;"Purple"",""""))"),"")</f>
        <v/>
      </c>
      <c r="U296" s="6" t="str">
        <f>IFERROR(__xludf.DUMMYFUNCTION("TRIM(CONCAT(""[right]"", REGEXREPLACE(C296, ""([ROYGBPXZC_]|1?[0-9])"", ""[img=119]res://textures/icons/$0.png[/img]\\n"")))"),"[right]")</f>
        <v>[right]</v>
      </c>
      <c r="V296" s="1" t="str">
        <f>IFERROR(__xludf.DUMMYFUNCTION("SUBSTITUTE(SUBSTITUTE(SUBSTITUTE(SUBSTITUTE(REGEXREPLACE(SUBSTITUTE(SUBSTITUTE(SUBSTITUTE(SUBSTITUTE(REGEXREPLACE(I296, ""(\[([ROYGBPTQUXZC_]|1?[0-9])\])"", ""[img=45]res://textures/icons/$2.png[/img]""),""--"",""—""),""-&gt;"",""•""),""~@"", CONCATENATE(""["&amp;"i]"",REGEXEXTRACT(B296,""^([\s\S]*),|$""),""[/i]"")),""~"", CONCATENATE(""[i]"",B296,""[/i]"")),""(\([\s\S]*?\))"",""[i][color=#34343A]$0[/color][/i]""), ""&lt;"", ""[""), ""&gt;"", ""]""), ""[/p][p]"", ""[font_size=15]\n\n[/font_size]""), ""[br/]"", ""\n"")"),"")</f>
        <v/>
      </c>
      <c r="W296" s="6" t="str">
        <f t="shared" si="19"/>
        <v>[i][/i]</v>
      </c>
      <c r="X296" s="1" t="str">
        <f t="shared" si="20"/>
        <v>0</v>
      </c>
      <c r="Y296" s="1"/>
    </row>
    <row r="297">
      <c r="A297" s="7" t="s">
        <v>76</v>
      </c>
      <c r="B297" s="6" t="str">
        <f t="shared" si="21"/>
        <v>C</v>
      </c>
      <c r="C297" s="8"/>
      <c r="D297" s="9" t="str">
        <f>IFERROR(__xludf.DUMMYFUNCTION("IF(ISBLANK(A297),"""",SWITCH(IF(T297="""",0,COUNTA(SPLIT(T297,"" ""))),0,""Generic"",1,TRIM(T297),2,""Multicolor"",3,""Multicolor"",4,""Multicolor"",5,""Multicolor"",6,""Multicolor"",7,""Multicolor"",8,""Multicolor""))"),"Generic")</f>
        <v>Generic</v>
      </c>
      <c r="E297" s="1"/>
      <c r="F297" s="1"/>
      <c r="H297" s="10"/>
      <c r="I297" s="11"/>
      <c r="J297" s="11"/>
      <c r="K297" s="6" t="s">
        <v>39</v>
      </c>
      <c r="L297" s="6" t="s">
        <v>39</v>
      </c>
      <c r="O297" s="11"/>
      <c r="Q297" s="7">
        <v>60</v>
      </c>
      <c r="R297" s="7">
        <v>50</v>
      </c>
      <c r="S297" s="1" t="str">
        <f t="shared" si="18"/>
        <v>False</v>
      </c>
      <c r="T297" s="6" t="str">
        <f>IFERROR(__xludf.DUMMYFUNCTION("CONCATENATE(if(REGEXMATCH(C297,""R""),"" Red"",""""),if(REGEXMATCH(C297,""O""),"" Orange"",""""),if(REGEXMATCH(C297,""Y""),"" Yellow"",""""),if(REGEXMATCH(C297,""G""),"" Green"",""""),if(REGEXMATCH(C297,""B""),"" Blue"",""""),if(REGEXMATCH(C297,""P""),"" "&amp;"Purple"",""""))"),"")</f>
        <v/>
      </c>
      <c r="U297" s="6" t="str">
        <f>IFERROR(__xludf.DUMMYFUNCTION("TRIM(CONCAT(""[right]"", REGEXREPLACE(C297, ""([ROYGBPXZC_]|1?[0-9])"", ""[img=119]res://textures/icons/$0.png[/img]\\n"")))"),"[right]")</f>
        <v>[right]</v>
      </c>
      <c r="V297" s="1" t="str">
        <f>IFERROR(__xludf.DUMMYFUNCTION("SUBSTITUTE(SUBSTITUTE(SUBSTITUTE(SUBSTITUTE(REGEXREPLACE(SUBSTITUTE(SUBSTITUTE(SUBSTITUTE(SUBSTITUTE(REGEXREPLACE(I297, ""(\[([ROYGBPTQUXZC_]|1?[0-9])\])"", ""[img=45]res://textures/icons/$2.png[/img]""),""--"",""—""),""-&gt;"",""•""),""~@"", CONCATENATE(""["&amp;"i]"",REGEXEXTRACT(B297,""^([\s\S]*),|$""),""[/i]"")),""~"", CONCATENATE(""[i]"",B297,""[/i]"")),""(\([\s\S]*?\))"",""[i][color=#34343A]$0[/color][/i]""), ""&lt;"", ""[""), ""&gt;"", ""]""), ""[/p][p]"", ""[font_size=15]\n\n[/font_size]""), ""[br/]"", ""\n"")"),"")</f>
        <v/>
      </c>
      <c r="W297" s="6" t="str">
        <f t="shared" si="19"/>
        <v>[i][/i]</v>
      </c>
      <c r="X297" s="1" t="str">
        <f t="shared" si="20"/>
        <v>0</v>
      </c>
      <c r="Y297" s="1"/>
    </row>
    <row r="298">
      <c r="A298" s="7" t="s">
        <v>461</v>
      </c>
      <c r="B298" s="7" t="str">
        <f t="shared" si="21"/>
        <v>M_CMDR_BP_001</v>
      </c>
      <c r="C298" s="8"/>
      <c r="D298" s="9" t="str">
        <f>IFERROR(__xludf.DUMMYFUNCTION("IF(ISBLANK(A298),"""",SWITCH(IF(T298="""",0,COUNTA(SPLIT(T298,"" ""))),0,""Generic"",1,TRIM(T298),2,""Multicolor"",3,""Multicolor"",4,""Multicolor"",5,""Multicolor"",6,""Multicolor"",7,""Multicolor"",8,""Multicolor""))"),"Generic")</f>
        <v>Generic</v>
      </c>
      <c r="E298" s="1"/>
      <c r="F298" s="1"/>
      <c r="G298" s="7" t="s">
        <v>462</v>
      </c>
      <c r="H298" s="10" t="s">
        <v>462</v>
      </c>
      <c r="I298" s="11" t="s">
        <v>462</v>
      </c>
      <c r="J298" s="11" t="s">
        <v>462</v>
      </c>
      <c r="K298" s="6" t="e">
        <v>#VALUE!</v>
      </c>
      <c r="L298" s="6" t="e">
        <v>#VALUE!</v>
      </c>
      <c r="O298" s="7" t="s">
        <v>463</v>
      </c>
      <c r="Q298" s="7">
        <v>60</v>
      </c>
      <c r="R298" s="7">
        <v>50</v>
      </c>
      <c r="S298" s="1" t="str">
        <f t="shared" si="18"/>
        <v>#VALUE!</v>
      </c>
      <c r="T298" s="6" t="str">
        <f>IFERROR(__xludf.DUMMYFUNCTION("CONCATENATE(if(REGEXMATCH(C298,""R""),"" Red"",""""),if(REGEXMATCH(C298,""O""),"" Orange"",""""),if(REGEXMATCH(C298,""Y""),"" Yellow"",""""),if(REGEXMATCH(C298,""G""),"" Green"",""""),if(REGEXMATCH(C298,""B""),"" Blue"",""""),if(REGEXMATCH(C298,""P""),"" "&amp;"Purple"",""""))"),"")</f>
        <v/>
      </c>
      <c r="U298" s="6" t="str">
        <f>IFERROR(__xludf.DUMMYFUNCTION("TRIM(CONCAT(""[right]"", REGEXREPLACE(C298, ""([ROYGBPXZC_]|1?[0-9])"", ""[img=119]res://textures/icons/$0.png[/img]\\n"")))"),"[right]")</f>
        <v>[right]</v>
      </c>
      <c r="V298" s="1" t="str">
        <f>IFERROR(__xludf.DUMMYFUNCTION("SUBSTITUTE(SUBSTITUTE(SUBSTITUTE(SUBSTITUTE(REGEXREPLACE(SUBSTITUTE(SUBSTITUTE(SUBSTITUTE(SUBSTITUTE(REGEXREPLACE(I298, ""(\[([ROYGBPTQUXZC_]|1?[0-9])\])"", ""[img=45]res://textures/icons/$2.png[/img]""),""--"",""—""),""-&gt;"",""•""),""~@"", CONCATENATE(""["&amp;"i]"",REGEXEXTRACT(B298,""^([\s\S]*),|$""),""[/i]"")),""~"", CONCATENATE(""[i]"",B298,""[/i]"")),""(\([\s\S]*?\))"",""[i][color=#34343A]$0[/color][/i]""), ""&lt;"", ""[""), ""&gt;"", ""]""), ""[/p][p]"", ""[font_size=15]\n\n[/font_size]""), ""[br/]"", ""\n"")"),"vehicle ai control")</f>
        <v xml:space="preserve">vehicle ai control</v>
      </c>
      <c r="W298" s="6" t="str">
        <f t="shared" si="19"/>
        <v>[i][/i]</v>
      </c>
      <c r="X298" s="1" t="str">
        <f t="shared" si="20"/>
        <v>0</v>
      </c>
      <c r="Y298" s="1"/>
    </row>
    <row r="299">
      <c r="A299" s="7" t="s">
        <v>177</v>
      </c>
      <c r="B299" s="6" t="str">
        <f t="shared" si="21"/>
        <v>Y</v>
      </c>
      <c r="C299" s="8"/>
      <c r="D299" s="9" t="str">
        <f>IFERROR(__xludf.DUMMYFUNCTION("IF(ISBLANK(A299),"""",SWITCH(IF(T299="""",0,COUNTA(SPLIT(T299,"" ""))),0,""Generic"",1,TRIM(T299),2,""Multicolor"",3,""Multicolor"",4,""Multicolor"",5,""Multicolor"",6,""Multicolor"",7,""Multicolor"",8,""Multicolor""))"),"Generic")</f>
        <v>Generic</v>
      </c>
      <c r="E299" s="1"/>
      <c r="F299" s="1"/>
      <c r="H299" s="10"/>
      <c r="I299" s="11"/>
      <c r="J299" s="11"/>
      <c r="K299" s="6" t="s">
        <v>39</v>
      </c>
      <c r="L299" s="6" t="s">
        <v>39</v>
      </c>
      <c r="O299" s="11"/>
      <c r="Q299" s="7">
        <v>60</v>
      </c>
      <c r="R299" s="7">
        <v>50</v>
      </c>
      <c r="S299" s="1" t="str">
        <f t="shared" si="18"/>
        <v>False</v>
      </c>
      <c r="T299" s="6" t="str">
        <f>IFERROR(__xludf.DUMMYFUNCTION("CONCATENATE(if(REGEXMATCH(C299,""R""),"" Red"",""""),if(REGEXMATCH(C299,""O""),"" Orange"",""""),if(REGEXMATCH(C299,""Y""),"" Yellow"",""""),if(REGEXMATCH(C299,""G""),"" Green"",""""),if(REGEXMATCH(C299,""B""),"" Blue"",""""),if(REGEXMATCH(C299,""P""),"" "&amp;"Purple"",""""))"),"")</f>
        <v/>
      </c>
      <c r="U299" s="6" t="str">
        <f>IFERROR(__xludf.DUMMYFUNCTION("TRIM(CONCAT(""[right]"", REGEXREPLACE(C299, ""([ROYGBPXZC_]|1?[0-9])"", ""[img=119]res://textures/icons/$0.png[/img]\\n"")))"),"[right]")</f>
        <v>[right]</v>
      </c>
      <c r="V299" s="1" t="str">
        <f>IFERROR(__xludf.DUMMYFUNCTION("SUBSTITUTE(SUBSTITUTE(SUBSTITUTE(SUBSTITUTE(REGEXREPLACE(SUBSTITUTE(SUBSTITUTE(SUBSTITUTE(SUBSTITUTE(REGEXREPLACE(I299, ""(\[([ROYGBPTQUXZC_]|1?[0-9])\])"", ""[img=45]res://textures/icons/$2.png[/img]""),""--"",""—""),""-&gt;"",""•""),""~@"", CONCATENATE(""["&amp;"i]"",REGEXEXTRACT(B299,""^([\s\S]*),|$""),""[/i]"")),""~"", CONCATENATE(""[i]"",B299,""[/i]"")),""(\([\s\S]*?\))"",""[i][color=#34343A]$0[/color][/i]""), ""&lt;"", ""[""), ""&gt;"", ""]""), ""[/p][p]"", ""[font_size=15]\n\n[/font_size]""), ""[br/]"", ""\n"")"),"")</f>
        <v/>
      </c>
      <c r="W299" s="6" t="str">
        <f t="shared" si="19"/>
        <v>[i][/i]</v>
      </c>
      <c r="X299" s="1" t="str">
        <f t="shared" si="20"/>
        <v>0</v>
      </c>
      <c r="Y299" s="1"/>
    </row>
    <row r="300">
      <c r="A300" s="7" t="s">
        <v>177</v>
      </c>
      <c r="B300" s="6" t="str">
        <f t="shared" si="21"/>
        <v>Y</v>
      </c>
      <c r="C300" s="8"/>
      <c r="D300" s="9" t="str">
        <f>IFERROR(__xludf.DUMMYFUNCTION("IF(ISBLANK(A300),"""",SWITCH(IF(T300="""",0,COUNTA(SPLIT(T300,"" ""))),0,""Generic"",1,TRIM(T300),2,""Multicolor"",3,""Multicolor"",4,""Multicolor"",5,""Multicolor"",6,""Multicolor"",7,""Multicolor"",8,""Multicolor""))"),"Generic")</f>
        <v>Generic</v>
      </c>
      <c r="E300" s="1"/>
      <c r="F300" s="1"/>
      <c r="H300" s="10"/>
      <c r="I300" s="11"/>
      <c r="J300" s="11"/>
      <c r="K300" s="6" t="s">
        <v>39</v>
      </c>
      <c r="L300" s="6" t="s">
        <v>39</v>
      </c>
      <c r="O300" s="11"/>
      <c r="Q300" s="7">
        <v>60</v>
      </c>
      <c r="R300" s="7">
        <v>50</v>
      </c>
      <c r="S300" s="1" t="str">
        <f t="shared" si="18"/>
        <v>False</v>
      </c>
      <c r="T300" s="6" t="str">
        <f>IFERROR(__xludf.DUMMYFUNCTION("CONCATENATE(if(REGEXMATCH(C300,""R""),"" Red"",""""),if(REGEXMATCH(C300,""O""),"" Orange"",""""),if(REGEXMATCH(C300,""Y""),"" Yellow"",""""),if(REGEXMATCH(C300,""G""),"" Green"",""""),if(REGEXMATCH(C300,""B""),"" Blue"",""""),if(REGEXMATCH(C300,""P""),"" "&amp;"Purple"",""""))"),"")</f>
        <v/>
      </c>
      <c r="U300" s="6" t="str">
        <f>IFERROR(__xludf.DUMMYFUNCTION("TRIM(CONCAT(""[right]"", REGEXREPLACE(C300, ""([ROYGBPXZC_]|1?[0-9])"", ""[img=119]res://textures/icons/$0.png[/img]\\n"")))"),"[right]")</f>
        <v>[right]</v>
      </c>
      <c r="V300" s="1" t="str">
        <f>IFERROR(__xludf.DUMMYFUNCTION("SUBSTITUTE(SUBSTITUTE(SUBSTITUTE(SUBSTITUTE(REGEXREPLACE(SUBSTITUTE(SUBSTITUTE(SUBSTITUTE(SUBSTITUTE(REGEXREPLACE(I300, ""(\[([ROYGBPTQUXZC_]|1?[0-9])\])"", ""[img=45]res://textures/icons/$2.png[/img]""),""--"",""—""),""-&gt;"",""•""),""~@"", CONCATENATE(""["&amp;"i]"",REGEXEXTRACT(B300,""^([\s\S]*),|$""),""[/i]"")),""~"", CONCATENATE(""[i]"",B300,""[/i]"")),""(\([\s\S]*?\))"",""[i][color=#34343A]$0[/color][/i]""), ""&lt;"", ""[""), ""&gt;"", ""]""), ""[/p][p]"", ""[font_size=15]\n\n[/font_size]""), ""[br/]"", ""\n"")"),"")</f>
        <v/>
      </c>
      <c r="W300" s="6" t="str">
        <f t="shared" si="19"/>
        <v>[i][/i]</v>
      </c>
      <c r="X300" s="1" t="str">
        <f t="shared" si="20"/>
        <v>0</v>
      </c>
      <c r="Y300" s="1"/>
    </row>
    <row r="301">
      <c r="A301" s="7" t="s">
        <v>177</v>
      </c>
      <c r="B301" s="6" t="str">
        <f t="shared" si="21"/>
        <v>Y</v>
      </c>
      <c r="C301" s="8"/>
      <c r="D301" s="9" t="str">
        <f>IFERROR(__xludf.DUMMYFUNCTION("IF(ISBLANK(A301),"""",SWITCH(IF(T301="""",0,COUNTA(SPLIT(T301,"" ""))),0,""Generic"",1,TRIM(T301),2,""Multicolor"",3,""Multicolor"",4,""Multicolor"",5,""Multicolor"",6,""Multicolor"",7,""Multicolor"",8,""Multicolor""))"),"Generic")</f>
        <v>Generic</v>
      </c>
      <c r="E301" s="1"/>
      <c r="F301" s="1"/>
      <c r="H301" s="10"/>
      <c r="I301" s="11"/>
      <c r="J301" s="11"/>
      <c r="K301" s="6" t="s">
        <v>39</v>
      </c>
      <c r="L301" s="6" t="s">
        <v>39</v>
      </c>
      <c r="Q301" s="7">
        <v>60</v>
      </c>
      <c r="R301" s="7">
        <v>50</v>
      </c>
      <c r="S301" s="1" t="str">
        <f t="shared" si="18"/>
        <v>False</v>
      </c>
      <c r="T301" s="6" t="str">
        <f>IFERROR(__xludf.DUMMYFUNCTION("CONCATENATE(if(REGEXMATCH(C301,""R""),"" Red"",""""),if(REGEXMATCH(C301,""O""),"" Orange"",""""),if(REGEXMATCH(C301,""Y""),"" Yellow"",""""),if(REGEXMATCH(C301,""G""),"" Green"",""""),if(REGEXMATCH(C301,""B""),"" Blue"",""""),if(REGEXMATCH(C301,""P""),"" "&amp;"Purple"",""""))"),"")</f>
        <v/>
      </c>
      <c r="U301" s="6" t="str">
        <f>IFERROR(__xludf.DUMMYFUNCTION("TRIM(CONCAT(""[right]"", REGEXREPLACE(C301, ""([ROYGBPXZC_]|1?[0-9])"", ""[img=119]res://textures/icons/$0.png[/img]\\n"")))"),"[right]")</f>
        <v>[right]</v>
      </c>
      <c r="V301" s="1" t="str">
        <f>IFERROR(__xludf.DUMMYFUNCTION("SUBSTITUTE(SUBSTITUTE(SUBSTITUTE(SUBSTITUTE(REGEXREPLACE(SUBSTITUTE(SUBSTITUTE(SUBSTITUTE(SUBSTITUTE(REGEXREPLACE(I301, ""(\[([ROYGBPTQUXZC_]|1?[0-9])\])"", ""[img=45]res://textures/icons/$2.png[/img]""),""--"",""—""),""-&gt;"",""•""),""~@"", CONCATENATE(""["&amp;"i]"",REGEXEXTRACT(B301,""^([\s\S]*),|$""),""[/i]"")),""~"", CONCATENATE(""[i]"",B301,""[/i]"")),""(\([\s\S]*?\))"",""[i][color=#34343A]$0[/color][/i]""), ""&lt;"", ""[""), ""&gt;"", ""]""), ""[/p][p]"", ""[font_size=15]\n\n[/font_size]""), ""[br/]"", ""\n"")"),"")</f>
        <v/>
      </c>
      <c r="W301" s="6" t="str">
        <f t="shared" si="19"/>
        <v>[i][/i]</v>
      </c>
      <c r="X301" s="1" t="str">
        <f t="shared" si="20"/>
        <v>0</v>
      </c>
      <c r="Y301" s="1"/>
    </row>
    <row r="302">
      <c r="A302" s="7" t="s">
        <v>177</v>
      </c>
      <c r="B302" s="6" t="str">
        <f t="shared" si="21"/>
        <v>Y</v>
      </c>
      <c r="C302" s="8"/>
      <c r="D302" s="9" t="str">
        <f>IFERROR(__xludf.DUMMYFUNCTION("IF(ISBLANK(A302),"""",SWITCH(IF(T302="""",0,COUNTA(SPLIT(T302,"" ""))),0,""Generic"",1,TRIM(T302),2,""Multicolor"",3,""Multicolor"",4,""Multicolor"",5,""Multicolor"",6,""Multicolor"",7,""Multicolor"",8,""Multicolor""))"),"Generic")</f>
        <v>Generic</v>
      </c>
      <c r="E302" s="1"/>
      <c r="F302" s="1"/>
      <c r="H302" s="10"/>
      <c r="I302" s="11"/>
      <c r="J302" s="11"/>
      <c r="K302" s="6" t="s">
        <v>39</v>
      </c>
      <c r="L302" s="6" t="s">
        <v>39</v>
      </c>
      <c r="Q302" s="7">
        <v>60</v>
      </c>
      <c r="R302" s="7">
        <v>50</v>
      </c>
      <c r="S302" s="1" t="str">
        <f t="shared" si="18"/>
        <v>False</v>
      </c>
      <c r="T302" s="6" t="str">
        <f>IFERROR(__xludf.DUMMYFUNCTION("CONCATENATE(if(REGEXMATCH(C302,""R""),"" Red"",""""),if(REGEXMATCH(C302,""O""),"" Orange"",""""),if(REGEXMATCH(C302,""Y""),"" Yellow"",""""),if(REGEXMATCH(C302,""G""),"" Green"",""""),if(REGEXMATCH(C302,""B""),"" Blue"",""""),if(REGEXMATCH(C302,""P""),"" "&amp;"Purple"",""""))"),"")</f>
        <v/>
      </c>
      <c r="U302" s="6" t="str">
        <f>IFERROR(__xludf.DUMMYFUNCTION("TRIM(CONCAT(""[right]"", REGEXREPLACE(C302, ""([ROYGBPXZC_]|1?[0-9])"", ""[img=119]res://textures/icons/$0.png[/img]\\n"")))"),"[right]")</f>
        <v>[right]</v>
      </c>
      <c r="V302" s="1" t="str">
        <f>IFERROR(__xludf.DUMMYFUNCTION("SUBSTITUTE(SUBSTITUTE(SUBSTITUTE(SUBSTITUTE(REGEXREPLACE(SUBSTITUTE(SUBSTITUTE(SUBSTITUTE(SUBSTITUTE(REGEXREPLACE(I302, ""(\[([ROYGBPTQUXZC_]|1?[0-9])\])"", ""[img=45]res://textures/icons/$2.png[/img]""),""--"",""—""),""-&gt;"",""•""),""~@"", CONCATENATE(""["&amp;"i]"",REGEXEXTRACT(B302,""^([\s\S]*),|$""),""[/i]"")),""~"", CONCATENATE(""[i]"",B302,""[/i]"")),""(\([\s\S]*?\))"",""[i][color=#34343A]$0[/color][/i]""), ""&lt;"", ""[""), ""&gt;"", ""]""), ""[/p][p]"", ""[font_size=15]\n\n[/font_size]""), ""[br/]"", ""\n"")"),"")</f>
        <v/>
      </c>
      <c r="W302" s="6" t="str">
        <f t="shared" si="19"/>
        <v>[i][/i]</v>
      </c>
      <c r="X302" s="1" t="str">
        <f t="shared" si="20"/>
        <v>0</v>
      </c>
      <c r="Y302" s="1"/>
    </row>
    <row r="303">
      <c r="A303" s="7" t="s">
        <v>75</v>
      </c>
      <c r="B303" s="6" t="str">
        <f t="shared" si="21"/>
        <v>U</v>
      </c>
      <c r="C303" s="8"/>
      <c r="D303" s="9" t="str">
        <f>IFERROR(__xludf.DUMMYFUNCTION("IF(ISBLANK(A303),"""",SWITCH(IF(T303="""",0,COUNTA(SPLIT(T303,"" ""))),0,""Generic"",1,TRIM(T303),2,""Multicolor"",3,""Multicolor"",4,""Multicolor"",5,""Multicolor"",6,""Multicolor"",7,""Multicolor"",8,""Multicolor""))"),"Generic")</f>
        <v>Generic</v>
      </c>
      <c r="E303" s="1"/>
      <c r="F303" s="1"/>
      <c r="H303" s="10"/>
      <c r="I303" s="11"/>
      <c r="J303" s="11"/>
      <c r="K303" s="6" t="s">
        <v>39</v>
      </c>
      <c r="L303" s="6" t="s">
        <v>39</v>
      </c>
      <c r="Q303" s="7">
        <v>60</v>
      </c>
      <c r="R303" s="7">
        <v>50</v>
      </c>
      <c r="S303" s="1" t="str">
        <f t="shared" si="18"/>
        <v>False</v>
      </c>
      <c r="T303" s="6" t="str">
        <f>IFERROR(__xludf.DUMMYFUNCTION("CONCATENATE(if(REGEXMATCH(C303,""R""),"" Red"",""""),if(REGEXMATCH(C303,""O""),"" Orange"",""""),if(REGEXMATCH(C303,""Y""),"" Yellow"",""""),if(REGEXMATCH(C303,""G""),"" Green"",""""),if(REGEXMATCH(C303,""B""),"" Blue"",""""),if(REGEXMATCH(C303,""P""),"" "&amp;"Purple"",""""))"),"")</f>
        <v/>
      </c>
      <c r="U303" s="6" t="str">
        <f>IFERROR(__xludf.DUMMYFUNCTION("TRIM(CONCAT(""[right]"", REGEXREPLACE(C303, ""([ROYGBPXZC_]|1?[0-9])"", ""[img=119]res://textures/icons/$0.png[/img]\\n"")))"),"[right]")</f>
        <v>[right]</v>
      </c>
      <c r="V303" s="1" t="str">
        <f>IFERROR(__xludf.DUMMYFUNCTION("SUBSTITUTE(SUBSTITUTE(SUBSTITUTE(SUBSTITUTE(REGEXREPLACE(SUBSTITUTE(SUBSTITUTE(SUBSTITUTE(SUBSTITUTE(REGEXREPLACE(I303, ""(\[([ROYGBPTQUXZC_]|1?[0-9])\])"", ""[img=45]res://textures/icons/$2.png[/img]""),""--"",""—""),""-&gt;"",""•""),""~@"", CONCATENATE(""["&amp;"i]"",REGEXEXTRACT(B303,""^([\s\S]*),|$""),""[/i]"")),""~"", CONCATENATE(""[i]"",B303,""[/i]"")),""(\([\s\S]*?\))"",""[i][color=#34343A]$0[/color][/i]""), ""&lt;"", ""[""), ""&gt;"", ""]""), ""[/p][p]"", ""[font_size=15]\n\n[/font_size]""), ""[br/]"", ""\n"")"),"")</f>
        <v/>
      </c>
      <c r="W303" s="6" t="str">
        <f t="shared" si="19"/>
        <v>[i][/i]</v>
      </c>
      <c r="X303" s="1" t="str">
        <f t="shared" si="20"/>
        <v>0</v>
      </c>
      <c r="Y303" s="1"/>
    </row>
    <row r="304">
      <c r="A304" s="7" t="s">
        <v>75</v>
      </c>
      <c r="B304" s="6" t="str">
        <f t="shared" si="21"/>
        <v>U</v>
      </c>
      <c r="C304" s="8"/>
      <c r="D304" s="9" t="str">
        <f>IFERROR(__xludf.DUMMYFUNCTION("IF(ISBLANK(A304),"""",SWITCH(IF(T304="""",0,COUNTA(SPLIT(T304,"" ""))),0,""Generic"",1,TRIM(T304),2,""Multicolor"",3,""Multicolor"",4,""Multicolor"",5,""Multicolor"",6,""Multicolor"",7,""Multicolor"",8,""Multicolor""))"),"Generic")</f>
        <v>Generic</v>
      </c>
      <c r="E304" s="1"/>
      <c r="F304" s="1"/>
      <c r="H304" s="10"/>
      <c r="I304" s="11"/>
      <c r="J304" s="11"/>
      <c r="K304" s="6" t="s">
        <v>39</v>
      </c>
      <c r="L304" s="6" t="s">
        <v>39</v>
      </c>
      <c r="Q304" s="7">
        <v>60</v>
      </c>
      <c r="R304" s="7">
        <v>50</v>
      </c>
      <c r="S304" s="1" t="str">
        <f t="shared" si="18"/>
        <v>False</v>
      </c>
      <c r="T304" s="6" t="str">
        <f>IFERROR(__xludf.DUMMYFUNCTION("CONCATENATE(if(REGEXMATCH(C304,""R""),"" Red"",""""),if(REGEXMATCH(C304,""O""),"" Orange"",""""),if(REGEXMATCH(C304,""Y""),"" Yellow"",""""),if(REGEXMATCH(C304,""G""),"" Green"",""""),if(REGEXMATCH(C304,""B""),"" Blue"",""""),if(REGEXMATCH(C304,""P""),"" "&amp;"Purple"",""""))"),"")</f>
        <v/>
      </c>
      <c r="U304" s="6" t="str">
        <f>IFERROR(__xludf.DUMMYFUNCTION("TRIM(CONCAT(""[right]"", REGEXREPLACE(C304, ""([ROYGBPXZC_]|1?[0-9])"", ""[img=119]res://textures/icons/$0.png[/img]\\n"")))"),"[right]")</f>
        <v>[right]</v>
      </c>
      <c r="V304" s="1" t="str">
        <f>IFERROR(__xludf.DUMMYFUNCTION("SUBSTITUTE(SUBSTITUTE(SUBSTITUTE(SUBSTITUTE(REGEXREPLACE(SUBSTITUTE(SUBSTITUTE(SUBSTITUTE(SUBSTITUTE(REGEXREPLACE(I304, ""(\[([ROYGBPTQUXZC_]|1?[0-9])\])"", ""[img=45]res://textures/icons/$2.png[/img]""),""--"",""—""),""-&gt;"",""•""),""~@"", CONCATENATE(""["&amp;"i]"",REGEXEXTRACT(B304,""^([\s\S]*),|$""),""[/i]"")),""~"", CONCATENATE(""[i]"",B304,""[/i]"")),""(\([\s\S]*?\))"",""[i][color=#34343A]$0[/color][/i]""), ""&lt;"", ""[""), ""&gt;"", ""]""), ""[/p][p]"", ""[font_size=15]\n\n[/font_size]""), ""[br/]"", ""\n"")"),"")</f>
        <v/>
      </c>
      <c r="W304" s="6" t="str">
        <f t="shared" si="19"/>
        <v>[i][/i]</v>
      </c>
      <c r="X304" s="1" t="str">
        <f t="shared" si="20"/>
        <v>0</v>
      </c>
      <c r="Y304" s="1"/>
    </row>
    <row r="305">
      <c r="A305" s="7" t="s">
        <v>75</v>
      </c>
      <c r="B305" s="6" t="str">
        <f t="shared" si="21"/>
        <v>U</v>
      </c>
      <c r="C305" s="8"/>
      <c r="D305" s="9" t="str">
        <f>IFERROR(__xludf.DUMMYFUNCTION("IF(ISBLANK(A305),"""",SWITCH(IF(T305="""",0,COUNTA(SPLIT(T305,"" ""))),0,""Generic"",1,TRIM(T305),2,""Multicolor"",3,""Multicolor"",4,""Multicolor"",5,""Multicolor"",6,""Multicolor"",7,""Multicolor"",8,""Multicolor""))"),"Generic")</f>
        <v>Generic</v>
      </c>
      <c r="E305" s="1"/>
      <c r="F305" s="1"/>
      <c r="H305" s="10"/>
      <c r="I305" s="11"/>
      <c r="J305" s="11"/>
      <c r="K305" s="6" t="s">
        <v>39</v>
      </c>
      <c r="L305" s="6" t="s">
        <v>39</v>
      </c>
      <c r="Q305" s="7">
        <v>60</v>
      </c>
      <c r="R305" s="7">
        <v>50</v>
      </c>
      <c r="S305" s="1" t="str">
        <f t="shared" si="18"/>
        <v>False</v>
      </c>
      <c r="T305" s="6" t="str">
        <f>IFERROR(__xludf.DUMMYFUNCTION("CONCATENATE(if(REGEXMATCH(C305,""R""),"" Red"",""""),if(REGEXMATCH(C305,""O""),"" Orange"",""""),if(REGEXMATCH(C305,""Y""),"" Yellow"",""""),if(REGEXMATCH(C305,""G""),"" Green"",""""),if(REGEXMATCH(C305,""B""),"" Blue"",""""),if(REGEXMATCH(C305,""P""),"" "&amp;"Purple"",""""))"),"")</f>
        <v/>
      </c>
      <c r="U305" s="6" t="str">
        <f>IFERROR(__xludf.DUMMYFUNCTION("TRIM(CONCAT(""[right]"", REGEXREPLACE(C305, ""([ROYGBPXZC_]|1?[0-9])"", ""[img=119]res://textures/icons/$0.png[/img]\\n"")))"),"[right]")</f>
        <v>[right]</v>
      </c>
      <c r="V305" s="1" t="str">
        <f>IFERROR(__xludf.DUMMYFUNCTION("SUBSTITUTE(SUBSTITUTE(SUBSTITUTE(SUBSTITUTE(REGEXREPLACE(SUBSTITUTE(SUBSTITUTE(SUBSTITUTE(SUBSTITUTE(REGEXREPLACE(I305, ""(\[([ROYGBPTQUXZC_]|1?[0-9])\])"", ""[img=45]res://textures/icons/$2.png[/img]""),""--"",""—""),""-&gt;"",""•""),""~@"", CONCATENATE(""["&amp;"i]"",REGEXEXTRACT(B305,""^([\s\S]*),|$""),""[/i]"")),""~"", CONCATENATE(""[i]"",B305,""[/i]"")),""(\([\s\S]*?\))"",""[i][color=#34343A]$0[/color][/i]""), ""&lt;"", ""[""), ""&gt;"", ""]""), ""[/p][p]"", ""[font_size=15]\n\n[/font_size]""), ""[br/]"", ""\n"")"),"")</f>
        <v/>
      </c>
      <c r="W305" s="6" t="str">
        <f t="shared" si="19"/>
        <v>[i][/i]</v>
      </c>
      <c r="X305" s="1" t="str">
        <f t="shared" si="20"/>
        <v>0</v>
      </c>
      <c r="Y305" s="1"/>
    </row>
    <row r="306">
      <c r="A306" s="7" t="s">
        <v>75</v>
      </c>
      <c r="B306" s="6" t="str">
        <f t="shared" si="21"/>
        <v>U</v>
      </c>
      <c r="C306" s="8"/>
      <c r="D306" s="9" t="str">
        <f>IFERROR(__xludf.DUMMYFUNCTION("IF(ISBLANK(A306),"""",SWITCH(IF(T306="""",0,COUNTA(SPLIT(T306,"" ""))),0,""Generic"",1,TRIM(T306),2,""Multicolor"",3,""Multicolor"",4,""Multicolor"",5,""Multicolor"",6,""Multicolor"",7,""Multicolor"",8,""Multicolor""))"),"Generic")</f>
        <v>Generic</v>
      </c>
      <c r="E306" s="1"/>
      <c r="F306" s="1"/>
      <c r="H306" s="10"/>
      <c r="I306" s="11"/>
      <c r="J306" s="11"/>
      <c r="K306" s="6" t="s">
        <v>39</v>
      </c>
      <c r="L306" s="6" t="s">
        <v>39</v>
      </c>
      <c r="Q306" s="7">
        <v>60</v>
      </c>
      <c r="R306" s="7">
        <v>50</v>
      </c>
      <c r="S306" s="1" t="str">
        <f t="shared" si="18"/>
        <v>False</v>
      </c>
      <c r="T306" s="6" t="str">
        <f>IFERROR(__xludf.DUMMYFUNCTION("CONCATENATE(if(REGEXMATCH(C306,""R""),"" Red"",""""),if(REGEXMATCH(C306,""O""),"" Orange"",""""),if(REGEXMATCH(C306,""Y""),"" Yellow"",""""),if(REGEXMATCH(C306,""G""),"" Green"",""""),if(REGEXMATCH(C306,""B""),"" Blue"",""""),if(REGEXMATCH(C306,""P""),"" "&amp;"Purple"",""""))"),"")</f>
        <v/>
      </c>
      <c r="U306" s="6" t="str">
        <f>IFERROR(__xludf.DUMMYFUNCTION("TRIM(CONCAT(""[right]"", REGEXREPLACE(C306, ""([ROYGBPXZC_]|1?[0-9])"", ""[img=119]res://textures/icons/$0.png[/img]\\n"")))"),"[right]")</f>
        <v>[right]</v>
      </c>
      <c r="V306" s="1" t="str">
        <f>IFERROR(__xludf.DUMMYFUNCTION("SUBSTITUTE(SUBSTITUTE(SUBSTITUTE(SUBSTITUTE(REGEXREPLACE(SUBSTITUTE(SUBSTITUTE(SUBSTITUTE(SUBSTITUTE(REGEXREPLACE(I306, ""(\[([ROYGBPTQUXZC_]|1?[0-9])\])"", ""[img=45]res://textures/icons/$2.png[/img]""),""--"",""—""),""-&gt;"",""•""),""~@"", CONCATENATE(""["&amp;"i]"",REGEXEXTRACT(B306,""^([\s\S]*),|$""),""[/i]"")),""~"", CONCATENATE(""[i]"",B306,""[/i]"")),""(\([\s\S]*?\))"",""[i][color=#34343A]$0[/color][/i]""), ""&lt;"", ""[""), ""&gt;"", ""]""), ""[/p][p]"", ""[font_size=15]\n\n[/font_size]""), ""[br/]"", ""\n"")"),"")</f>
        <v/>
      </c>
      <c r="W306" s="6" t="str">
        <f t="shared" si="19"/>
        <v>[i][/i]</v>
      </c>
      <c r="X306" s="1" t="str">
        <f t="shared" si="20"/>
        <v>0</v>
      </c>
      <c r="Y306" s="1"/>
    </row>
    <row r="307">
      <c r="A307" s="7" t="s">
        <v>75</v>
      </c>
      <c r="B307" s="6" t="str">
        <f t="shared" si="21"/>
        <v>U</v>
      </c>
      <c r="C307" s="8"/>
      <c r="D307" s="9" t="str">
        <f>IFERROR(__xludf.DUMMYFUNCTION("IF(ISBLANK(A307),"""",SWITCH(IF(T307="""",0,COUNTA(SPLIT(T307,"" ""))),0,""Generic"",1,TRIM(T307),2,""Multicolor"",3,""Multicolor"",4,""Multicolor"",5,""Multicolor"",6,""Multicolor"",7,""Multicolor"",8,""Multicolor""))"),"Generic")</f>
        <v>Generic</v>
      </c>
      <c r="E307" s="1"/>
      <c r="F307" s="1"/>
      <c r="H307" s="10"/>
      <c r="I307" s="11"/>
      <c r="J307" s="11"/>
      <c r="K307" s="6" t="s">
        <v>39</v>
      </c>
      <c r="L307" s="6" t="s">
        <v>39</v>
      </c>
      <c r="Q307" s="7">
        <v>60</v>
      </c>
      <c r="R307" s="7">
        <v>50</v>
      </c>
      <c r="S307" s="1" t="str">
        <f t="shared" si="18"/>
        <v>False</v>
      </c>
      <c r="T307" s="6" t="str">
        <f>IFERROR(__xludf.DUMMYFUNCTION("CONCATENATE(if(REGEXMATCH(C307,""R""),"" Red"",""""),if(REGEXMATCH(C307,""O""),"" Orange"",""""),if(REGEXMATCH(C307,""Y""),"" Yellow"",""""),if(REGEXMATCH(C307,""G""),"" Green"",""""),if(REGEXMATCH(C307,""B""),"" Blue"",""""),if(REGEXMATCH(C307,""P""),"" "&amp;"Purple"",""""))"),"")</f>
        <v/>
      </c>
      <c r="U307" s="6" t="str">
        <f>IFERROR(__xludf.DUMMYFUNCTION("TRIM(CONCAT(""[right]"", REGEXREPLACE(C307, ""([ROYGBPXZC_]|1?[0-9])"", ""[img=119]res://textures/icons/$0.png[/img]\\n"")))"),"[right]")</f>
        <v>[right]</v>
      </c>
      <c r="V307" s="1" t="str">
        <f>IFERROR(__xludf.DUMMYFUNCTION("SUBSTITUTE(SUBSTITUTE(SUBSTITUTE(SUBSTITUTE(REGEXREPLACE(SUBSTITUTE(SUBSTITUTE(SUBSTITUTE(SUBSTITUTE(REGEXREPLACE(I307, ""(\[([ROYGBPTQUXZC_]|1?[0-9])\])"", ""[img=45]res://textures/icons/$2.png[/img]""),""--"",""—""),""-&gt;"",""•""),""~@"", CONCATENATE(""["&amp;"i]"",REGEXEXTRACT(B307,""^([\s\S]*),|$""),""[/i]"")),""~"", CONCATENATE(""[i]"",B307,""[/i]"")),""(\([\s\S]*?\))"",""[i][color=#34343A]$0[/color][/i]""), ""&lt;"", ""[""), ""&gt;"", ""]""), ""[/p][p]"", ""[font_size=15]\n\n[/font_size]""), ""[br/]"", ""\n"")"),"")</f>
        <v/>
      </c>
      <c r="W307" s="6" t="str">
        <f t="shared" si="19"/>
        <v>[i][/i]</v>
      </c>
      <c r="X307" s="1" t="str">
        <f t="shared" si="20"/>
        <v>0</v>
      </c>
      <c r="Y307" s="1"/>
    </row>
    <row r="308">
      <c r="A308" s="7" t="s">
        <v>75</v>
      </c>
      <c r="B308" s="6" t="str">
        <f t="shared" si="21"/>
        <v>U</v>
      </c>
      <c r="C308" s="8"/>
      <c r="D308" s="9" t="str">
        <f>IFERROR(__xludf.DUMMYFUNCTION("IF(ISBLANK(A308),"""",SWITCH(IF(T308="""",0,COUNTA(SPLIT(T308,"" ""))),0,""Generic"",1,TRIM(T308),2,""Multicolor"",3,""Multicolor"",4,""Multicolor"",5,""Multicolor"",6,""Multicolor"",7,""Multicolor"",8,""Multicolor""))"),"Generic")</f>
        <v>Generic</v>
      </c>
      <c r="E308" s="1"/>
      <c r="F308" s="1"/>
      <c r="H308" s="10"/>
      <c r="I308" s="11"/>
      <c r="J308" s="11"/>
      <c r="K308" s="6" t="s">
        <v>39</v>
      </c>
      <c r="L308" s="6" t="s">
        <v>39</v>
      </c>
      <c r="Q308" s="7">
        <v>60</v>
      </c>
      <c r="R308" s="7">
        <v>50</v>
      </c>
      <c r="S308" s="1" t="str">
        <f t="shared" si="18"/>
        <v>False</v>
      </c>
      <c r="T308" s="6" t="str">
        <f>IFERROR(__xludf.DUMMYFUNCTION("CONCATENATE(if(REGEXMATCH(C308,""R""),"" Red"",""""),if(REGEXMATCH(C308,""O""),"" Orange"",""""),if(REGEXMATCH(C308,""Y""),"" Yellow"",""""),if(REGEXMATCH(C308,""G""),"" Green"",""""),if(REGEXMATCH(C308,""B""),"" Blue"",""""),if(REGEXMATCH(C308,""P""),"" "&amp;"Purple"",""""))"),"")</f>
        <v/>
      </c>
      <c r="U308" s="6" t="str">
        <f>IFERROR(__xludf.DUMMYFUNCTION("TRIM(CONCAT(""[right]"", REGEXREPLACE(C308, ""([ROYGBPXZC_]|1?[0-9])"", ""[img=119]res://textures/icons/$0.png[/img]\\n"")))"),"[right]")</f>
        <v>[right]</v>
      </c>
      <c r="V308" s="1" t="str">
        <f>IFERROR(__xludf.DUMMYFUNCTION("SUBSTITUTE(SUBSTITUTE(SUBSTITUTE(SUBSTITUTE(REGEXREPLACE(SUBSTITUTE(SUBSTITUTE(SUBSTITUTE(SUBSTITUTE(REGEXREPLACE(I308, ""(\[([ROYGBPTQUXZC_]|1?[0-9])\])"", ""[img=45]res://textures/icons/$2.png[/img]""),""--"",""—""),""-&gt;"",""•""),""~@"", CONCATENATE(""["&amp;"i]"",REGEXEXTRACT(B308,""^([\s\S]*),|$""),""[/i]"")),""~"", CONCATENATE(""[i]"",B308,""[/i]"")),""(\([\s\S]*?\))"",""[i][color=#34343A]$0[/color][/i]""), ""&lt;"", ""[""), ""&gt;"", ""]""), ""[/p][p]"", ""[font_size=15]\n\n[/font_size]""), ""[br/]"", ""\n"")"),"")</f>
        <v/>
      </c>
      <c r="W308" s="6" t="str">
        <f t="shared" si="19"/>
        <v>[i][/i]</v>
      </c>
      <c r="X308" s="1" t="str">
        <f t="shared" si="20"/>
        <v>0</v>
      </c>
      <c r="Y308" s="1"/>
    </row>
    <row r="309">
      <c r="A309" s="7" t="s">
        <v>76</v>
      </c>
      <c r="B309" s="6" t="str">
        <f t="shared" si="21"/>
        <v>C</v>
      </c>
      <c r="C309" s="8"/>
      <c r="D309" s="9" t="str">
        <f>IFERROR(__xludf.DUMMYFUNCTION("IF(ISBLANK(A309),"""",SWITCH(IF(T309="""",0,COUNTA(SPLIT(T309,"" ""))),0,""Generic"",1,TRIM(T309),2,""Multicolor"",3,""Multicolor"",4,""Multicolor"",5,""Multicolor"",6,""Multicolor"",7,""Multicolor"",8,""Multicolor""))"),"Generic")</f>
        <v>Generic</v>
      </c>
      <c r="E309" s="1"/>
      <c r="F309" s="1"/>
      <c r="H309" s="10"/>
      <c r="I309" s="11"/>
      <c r="J309" s="11"/>
      <c r="K309" s="6" t="s">
        <v>39</v>
      </c>
      <c r="L309" s="6" t="s">
        <v>39</v>
      </c>
      <c r="Q309" s="7">
        <v>60</v>
      </c>
      <c r="R309" s="7">
        <v>50</v>
      </c>
      <c r="S309" s="1" t="str">
        <f t="shared" si="18"/>
        <v>False</v>
      </c>
      <c r="T309" s="6" t="str">
        <f>IFERROR(__xludf.DUMMYFUNCTION("CONCATENATE(if(REGEXMATCH(C309,""R""),"" Red"",""""),if(REGEXMATCH(C309,""O""),"" Orange"",""""),if(REGEXMATCH(C309,""Y""),"" Yellow"",""""),if(REGEXMATCH(C309,""G""),"" Green"",""""),if(REGEXMATCH(C309,""B""),"" Blue"",""""),if(REGEXMATCH(C309,""P""),"" "&amp;"Purple"",""""))"),"")</f>
        <v/>
      </c>
      <c r="U309" s="6" t="str">
        <f>IFERROR(__xludf.DUMMYFUNCTION("TRIM(CONCAT(""[right]"", REGEXREPLACE(C309, ""([ROYGBPXZC_]|1?[0-9])"", ""[img=119]res://textures/icons/$0.png[/img]\\n"")))"),"[right]")</f>
        <v>[right]</v>
      </c>
      <c r="V309" s="1" t="str">
        <f>IFERROR(__xludf.DUMMYFUNCTION("SUBSTITUTE(SUBSTITUTE(SUBSTITUTE(SUBSTITUTE(REGEXREPLACE(SUBSTITUTE(SUBSTITUTE(SUBSTITUTE(SUBSTITUTE(REGEXREPLACE(I309, ""(\[([ROYGBPTQUXZC_]|1?[0-9])\])"", ""[img=45]res://textures/icons/$2.png[/img]""),""--"",""—""),""-&gt;"",""•""),""~@"", CONCATENATE(""["&amp;"i]"",REGEXEXTRACT(B309,""^([\s\S]*),|$""),""[/i]"")),""~"", CONCATENATE(""[i]"",B309,""[/i]"")),""(\([\s\S]*?\))"",""[i][color=#34343A]$0[/color][/i]""), ""&lt;"", ""[""), ""&gt;"", ""]""), ""[/p][p]"", ""[font_size=15]\n\n[/font_size]""), ""[br/]"", ""\n"")"),"")</f>
        <v/>
      </c>
      <c r="W309" s="6" t="str">
        <f t="shared" si="19"/>
        <v>[i][/i]</v>
      </c>
      <c r="X309" s="1" t="str">
        <f t="shared" si="20"/>
        <v>0</v>
      </c>
      <c r="Y309" s="1"/>
    </row>
    <row r="310">
      <c r="A310" s="7" t="s">
        <v>76</v>
      </c>
      <c r="B310" s="6" t="str">
        <f t="shared" si="21"/>
        <v>C</v>
      </c>
      <c r="C310" s="8"/>
      <c r="D310" s="9" t="str">
        <f>IFERROR(__xludf.DUMMYFUNCTION("IF(ISBLANK(A310),"""",SWITCH(IF(T310="""",0,COUNTA(SPLIT(T310,"" ""))),0,""Generic"",1,TRIM(T310),2,""Multicolor"",3,""Multicolor"",4,""Multicolor"",5,""Multicolor"",6,""Multicolor"",7,""Multicolor"",8,""Multicolor""))"),"Generic")</f>
        <v>Generic</v>
      </c>
      <c r="E310" s="1"/>
      <c r="F310" s="1"/>
      <c r="H310" s="10"/>
      <c r="I310" s="11"/>
      <c r="J310" s="11"/>
      <c r="K310" s="6" t="s">
        <v>39</v>
      </c>
      <c r="L310" s="6" t="s">
        <v>39</v>
      </c>
      <c r="Q310" s="7">
        <v>60</v>
      </c>
      <c r="R310" s="7">
        <v>50</v>
      </c>
      <c r="S310" s="1" t="str">
        <f t="shared" si="18"/>
        <v>False</v>
      </c>
      <c r="T310" s="6" t="str">
        <f>IFERROR(__xludf.DUMMYFUNCTION("CONCATENATE(if(REGEXMATCH(C310,""R""),"" Red"",""""),if(REGEXMATCH(C310,""O""),"" Orange"",""""),if(REGEXMATCH(C310,""Y""),"" Yellow"",""""),if(REGEXMATCH(C310,""G""),"" Green"",""""),if(REGEXMATCH(C310,""B""),"" Blue"",""""),if(REGEXMATCH(C310,""P""),"" "&amp;"Purple"",""""))"),"")</f>
        <v/>
      </c>
      <c r="U310" s="6" t="str">
        <f>IFERROR(__xludf.DUMMYFUNCTION("TRIM(CONCAT(""[right]"", REGEXREPLACE(C310, ""([ROYGBPXZC_]|1?[0-9])"", ""[img=119]res://textures/icons/$0.png[/img]\\n"")))"),"[right]")</f>
        <v>[right]</v>
      </c>
      <c r="V310" s="1" t="str">
        <f>IFERROR(__xludf.DUMMYFUNCTION("SUBSTITUTE(SUBSTITUTE(SUBSTITUTE(SUBSTITUTE(REGEXREPLACE(SUBSTITUTE(SUBSTITUTE(SUBSTITUTE(SUBSTITUTE(REGEXREPLACE(I310, ""(\[([ROYGBPTQUXZC_]|1?[0-9])\])"", ""[img=45]res://textures/icons/$2.png[/img]""),""--"",""—""),""-&gt;"",""•""),""~@"", CONCATENATE(""["&amp;"i]"",REGEXEXTRACT(B310,""^([\s\S]*),|$""),""[/i]"")),""~"", CONCATENATE(""[i]"",B310,""[/i]"")),""(\([\s\S]*?\))"",""[i][color=#34343A]$0[/color][/i]""), ""&lt;"", ""[""), ""&gt;"", ""]""), ""[/p][p]"", ""[font_size=15]\n\n[/font_size]""), ""[br/]"", ""\n"")"),"")</f>
        <v/>
      </c>
      <c r="W310" s="6" t="str">
        <f t="shared" si="19"/>
        <v>[i][/i]</v>
      </c>
      <c r="X310" s="1" t="str">
        <f t="shared" si="20"/>
        <v>0</v>
      </c>
      <c r="Y310" s="1"/>
    </row>
    <row r="311">
      <c r="A311" s="7" t="s">
        <v>76</v>
      </c>
      <c r="B311" s="6" t="str">
        <f t="shared" si="21"/>
        <v>C</v>
      </c>
      <c r="C311" s="8"/>
      <c r="D311" s="9" t="str">
        <f>IFERROR(__xludf.DUMMYFUNCTION("IF(ISBLANK(A311),"""",SWITCH(IF(T311="""",0,COUNTA(SPLIT(T311,"" ""))),0,""Generic"",1,TRIM(T311),2,""Multicolor"",3,""Multicolor"",4,""Multicolor"",5,""Multicolor"",6,""Multicolor"",7,""Multicolor"",8,""Multicolor""))"),"Generic")</f>
        <v>Generic</v>
      </c>
      <c r="E311" s="1"/>
      <c r="F311" s="1"/>
      <c r="H311" s="10"/>
      <c r="I311" s="11"/>
      <c r="J311" s="11"/>
      <c r="K311" s="6" t="s">
        <v>39</v>
      </c>
      <c r="L311" s="6" t="s">
        <v>39</v>
      </c>
      <c r="O311" s="11"/>
      <c r="Q311" s="7">
        <v>60</v>
      </c>
      <c r="R311" s="7">
        <v>50</v>
      </c>
      <c r="S311" s="1" t="str">
        <f t="shared" si="18"/>
        <v>False</v>
      </c>
      <c r="T311" s="6" t="str">
        <f>IFERROR(__xludf.DUMMYFUNCTION("CONCATENATE(if(REGEXMATCH(C311,""R""),"" Red"",""""),if(REGEXMATCH(C311,""O""),"" Orange"",""""),if(REGEXMATCH(C311,""Y""),"" Yellow"",""""),if(REGEXMATCH(C311,""G""),"" Green"",""""),if(REGEXMATCH(C311,""B""),"" Blue"",""""),if(REGEXMATCH(C311,""P""),"" "&amp;"Purple"",""""))"),"")</f>
        <v/>
      </c>
      <c r="U311" s="6" t="str">
        <f>IFERROR(__xludf.DUMMYFUNCTION("TRIM(CONCAT(""[right]"", REGEXREPLACE(C311, ""([ROYGBPXZC_]|1?[0-9])"", ""[img=119]res://textures/icons/$0.png[/img]\\n"")))"),"[right]")</f>
        <v>[right]</v>
      </c>
      <c r="V311" s="1" t="str">
        <f>IFERROR(__xludf.DUMMYFUNCTION("SUBSTITUTE(SUBSTITUTE(SUBSTITUTE(SUBSTITUTE(REGEXREPLACE(SUBSTITUTE(SUBSTITUTE(SUBSTITUTE(SUBSTITUTE(REGEXREPLACE(I311, ""(\[([ROYGBPTQUXZC_]|1?[0-9])\])"", ""[img=45]res://textures/icons/$2.png[/img]""),""--"",""—""),""-&gt;"",""•""),""~@"", CONCATENATE(""["&amp;"i]"",REGEXEXTRACT(B311,""^([\s\S]*),|$""),""[/i]"")),""~"", CONCATENATE(""[i]"",B311,""[/i]"")),""(\([\s\S]*?\))"",""[i][color=#34343A]$0[/color][/i]""), ""&lt;"", ""[""), ""&gt;"", ""]""), ""[/p][p]"", ""[font_size=15]\n\n[/font_size]""), ""[br/]"", ""\n"")"),"")</f>
        <v/>
      </c>
      <c r="W311" s="6" t="str">
        <f t="shared" si="19"/>
        <v>[i][/i]</v>
      </c>
      <c r="X311" s="1" t="str">
        <f t="shared" si="20"/>
        <v>0</v>
      </c>
      <c r="Y311" s="1"/>
    </row>
    <row r="312">
      <c r="A312" s="7" t="s">
        <v>76</v>
      </c>
      <c r="B312" s="6" t="str">
        <f t="shared" si="21"/>
        <v>C</v>
      </c>
      <c r="C312" s="8"/>
      <c r="D312" s="9" t="str">
        <f>IFERROR(__xludf.DUMMYFUNCTION("IF(ISBLANK(A312),"""",SWITCH(IF(T312="""",0,COUNTA(SPLIT(T312,"" ""))),0,""Generic"",1,TRIM(T312),2,""Multicolor"",3,""Multicolor"",4,""Multicolor"",5,""Multicolor"",6,""Multicolor"",7,""Multicolor"",8,""Multicolor""))"),"Generic")</f>
        <v>Generic</v>
      </c>
      <c r="E312" s="1"/>
      <c r="F312" s="1"/>
      <c r="H312" s="10"/>
      <c r="I312" s="11"/>
      <c r="J312" s="11"/>
      <c r="K312" s="6" t="s">
        <v>39</v>
      </c>
      <c r="L312" s="6" t="s">
        <v>39</v>
      </c>
      <c r="O312" s="11"/>
      <c r="Q312" s="7">
        <v>60</v>
      </c>
      <c r="R312" s="7">
        <v>50</v>
      </c>
      <c r="S312" s="1" t="str">
        <f t="shared" si="18"/>
        <v>False</v>
      </c>
      <c r="T312" s="6" t="str">
        <f>IFERROR(__xludf.DUMMYFUNCTION("CONCATENATE(if(REGEXMATCH(C312,""R""),"" Red"",""""),if(REGEXMATCH(C312,""O""),"" Orange"",""""),if(REGEXMATCH(C312,""Y""),"" Yellow"",""""),if(REGEXMATCH(C312,""G""),"" Green"",""""),if(REGEXMATCH(C312,""B""),"" Blue"",""""),if(REGEXMATCH(C312,""P""),"" "&amp;"Purple"",""""))"),"")</f>
        <v/>
      </c>
      <c r="U312" s="6" t="str">
        <f>IFERROR(__xludf.DUMMYFUNCTION("TRIM(CONCAT(""[right]"", REGEXREPLACE(C312, ""([ROYGBPXZC_]|1?[0-9])"", ""[img=119]res://textures/icons/$0.png[/img]\\n"")))"),"[right]")</f>
        <v>[right]</v>
      </c>
      <c r="V312" s="1" t="str">
        <f>IFERROR(__xludf.DUMMYFUNCTION("SUBSTITUTE(SUBSTITUTE(SUBSTITUTE(SUBSTITUTE(REGEXREPLACE(SUBSTITUTE(SUBSTITUTE(SUBSTITUTE(SUBSTITUTE(REGEXREPLACE(I312, ""(\[([ROYGBPTQUXZC_]|1?[0-9])\])"", ""[img=45]res://textures/icons/$2.png[/img]""),""--"",""—""),""-&gt;"",""•""),""~@"", CONCATENATE(""["&amp;"i]"",REGEXEXTRACT(B312,""^([\s\S]*),|$""),""[/i]"")),""~"", CONCATENATE(""[i]"",B312,""[/i]"")),""(\([\s\S]*?\))"",""[i][color=#34343A]$0[/color][/i]""), ""&lt;"", ""[""), ""&gt;"", ""]""), ""[/p][p]"", ""[font_size=15]\n\n[/font_size]""), ""[br/]"", ""\n"")"),"")</f>
        <v/>
      </c>
      <c r="W312" s="6" t="str">
        <f t="shared" si="19"/>
        <v>[i][/i]</v>
      </c>
      <c r="X312" s="1" t="str">
        <f t="shared" si="20"/>
        <v>0</v>
      </c>
      <c r="Y312" s="1"/>
    </row>
    <row r="313">
      <c r="A313" s="7" t="s">
        <v>76</v>
      </c>
      <c r="B313" s="6" t="str">
        <f t="shared" si="21"/>
        <v>C</v>
      </c>
      <c r="C313" s="8"/>
      <c r="D313" s="9" t="str">
        <f>IFERROR(__xludf.DUMMYFUNCTION("IF(ISBLANK(A313),"""",SWITCH(IF(T313="""",0,COUNTA(SPLIT(T313,"" ""))),0,""Generic"",1,TRIM(T313),2,""Multicolor"",3,""Multicolor"",4,""Multicolor"",5,""Multicolor"",6,""Multicolor"",7,""Multicolor"",8,""Multicolor""))"),"Generic")</f>
        <v>Generic</v>
      </c>
      <c r="E313" s="1"/>
      <c r="F313" s="1"/>
      <c r="H313" s="10"/>
      <c r="I313" s="11"/>
      <c r="J313" s="11"/>
      <c r="K313" s="6" t="s">
        <v>39</v>
      </c>
      <c r="L313" s="6" t="s">
        <v>39</v>
      </c>
      <c r="O313" s="11"/>
      <c r="Q313" s="7">
        <v>60</v>
      </c>
      <c r="R313" s="7">
        <v>50</v>
      </c>
      <c r="S313" s="1" t="str">
        <f t="shared" si="18"/>
        <v>False</v>
      </c>
      <c r="T313" s="6" t="str">
        <f>IFERROR(__xludf.DUMMYFUNCTION("CONCATENATE(if(REGEXMATCH(C313,""R""),"" Red"",""""),if(REGEXMATCH(C313,""O""),"" Orange"",""""),if(REGEXMATCH(C313,""Y""),"" Yellow"",""""),if(REGEXMATCH(C313,""G""),"" Green"",""""),if(REGEXMATCH(C313,""B""),"" Blue"",""""),if(REGEXMATCH(C313,""P""),"" "&amp;"Purple"",""""))"),"")</f>
        <v/>
      </c>
      <c r="U313" s="6" t="str">
        <f>IFERROR(__xludf.DUMMYFUNCTION("TRIM(CONCAT(""[right]"", REGEXREPLACE(C313, ""([ROYGBPXZC_]|1?[0-9])"", ""[img=119]res://textures/icons/$0.png[/img]\\n"")))"),"[right]")</f>
        <v>[right]</v>
      </c>
      <c r="V313" s="1" t="str">
        <f>IFERROR(__xludf.DUMMYFUNCTION("SUBSTITUTE(SUBSTITUTE(SUBSTITUTE(SUBSTITUTE(REGEXREPLACE(SUBSTITUTE(SUBSTITUTE(SUBSTITUTE(SUBSTITUTE(REGEXREPLACE(I313, ""(\[([ROYGBPTQUXZC_]|1?[0-9])\])"", ""[img=45]res://textures/icons/$2.png[/img]""),""--"",""—""),""-&gt;"",""•""),""~@"", CONCATENATE(""["&amp;"i]"",REGEXEXTRACT(B313,""^([\s\S]*),|$""),""[/i]"")),""~"", CONCATENATE(""[i]"",B313,""[/i]"")),""(\([\s\S]*?\))"",""[i][color=#34343A]$0[/color][/i]""), ""&lt;"", ""[""), ""&gt;"", ""]""), ""[/p][p]"", ""[font_size=15]\n\n[/font_size]""), ""[br/]"", ""\n"")"),"")</f>
        <v/>
      </c>
      <c r="W313" s="6" t="str">
        <f t="shared" si="19"/>
        <v>[i][/i]</v>
      </c>
      <c r="X313" s="1" t="str">
        <f t="shared" si="20"/>
        <v>0</v>
      </c>
      <c r="Y313" s="1"/>
    </row>
    <row r="314">
      <c r="A314" s="7" t="s">
        <v>76</v>
      </c>
      <c r="B314" s="6" t="str">
        <f t="shared" si="21"/>
        <v>C</v>
      </c>
      <c r="C314" s="8"/>
      <c r="D314" s="9" t="str">
        <f>IFERROR(__xludf.DUMMYFUNCTION("IF(ISBLANK(A314),"""",SWITCH(IF(T314="""",0,COUNTA(SPLIT(T314,"" ""))),0,""Generic"",1,TRIM(T314),2,""Multicolor"",3,""Multicolor"",4,""Multicolor"",5,""Multicolor"",6,""Multicolor"",7,""Multicolor"",8,""Multicolor""))"),"Generic")</f>
        <v>Generic</v>
      </c>
      <c r="E314" s="1"/>
      <c r="F314" s="1"/>
      <c r="H314" s="10"/>
      <c r="I314" s="11"/>
      <c r="J314" s="11"/>
      <c r="K314" s="6" t="s">
        <v>39</v>
      </c>
      <c r="L314" s="6" t="s">
        <v>39</v>
      </c>
      <c r="O314" s="11"/>
      <c r="Q314" s="7">
        <v>60</v>
      </c>
      <c r="R314" s="7">
        <v>50</v>
      </c>
      <c r="S314" s="1" t="str">
        <f t="shared" si="18"/>
        <v>False</v>
      </c>
      <c r="T314" s="6" t="str">
        <f>IFERROR(__xludf.DUMMYFUNCTION("CONCATENATE(if(REGEXMATCH(C314,""R""),"" Red"",""""),if(REGEXMATCH(C314,""O""),"" Orange"",""""),if(REGEXMATCH(C314,""Y""),"" Yellow"",""""),if(REGEXMATCH(C314,""G""),"" Green"",""""),if(REGEXMATCH(C314,""B""),"" Blue"",""""),if(REGEXMATCH(C314,""P""),"" "&amp;"Purple"",""""))"),"")</f>
        <v/>
      </c>
      <c r="U314" s="6" t="str">
        <f>IFERROR(__xludf.DUMMYFUNCTION("TRIM(CONCAT(""[right]"", REGEXREPLACE(C314, ""([ROYGBPXZC_]|1?[0-9])"", ""[img=119]res://textures/icons/$0.png[/img]\\n"")))"),"[right]")</f>
        <v>[right]</v>
      </c>
      <c r="V314" s="1" t="str">
        <f>IFERROR(__xludf.DUMMYFUNCTION("SUBSTITUTE(SUBSTITUTE(SUBSTITUTE(SUBSTITUTE(REGEXREPLACE(SUBSTITUTE(SUBSTITUTE(SUBSTITUTE(SUBSTITUTE(REGEXREPLACE(I314, ""(\[([ROYGBPTQUXZC_]|1?[0-9])\])"", ""[img=45]res://textures/icons/$2.png[/img]""),""--"",""—""),""-&gt;"",""•""),""~@"", CONCATENATE(""["&amp;"i]"",REGEXEXTRACT(B314,""^([\s\S]*),|$""),""[/i]"")),""~"", CONCATENATE(""[i]"",B314,""[/i]"")),""(\([\s\S]*?\))"",""[i][color=#34343A]$0[/color][/i]""), ""&lt;"", ""[""), ""&gt;"", ""]""), ""[/p][p]"", ""[font_size=15]\n\n[/font_size]""), ""[br/]"", ""\n"")"),"")</f>
        <v/>
      </c>
      <c r="W314" s="6" t="str">
        <f t="shared" si="19"/>
        <v>[i][/i]</v>
      </c>
      <c r="X314" s="1" t="str">
        <f t="shared" si="20"/>
        <v>0</v>
      </c>
      <c r="Y314" s="1"/>
    </row>
    <row r="315">
      <c r="A315" s="7" t="s">
        <v>76</v>
      </c>
      <c r="B315" s="6" t="str">
        <f t="shared" si="21"/>
        <v>C</v>
      </c>
      <c r="C315" s="8"/>
      <c r="D315" s="9" t="str">
        <f>IFERROR(__xludf.DUMMYFUNCTION("IF(ISBLANK(A315),"""",SWITCH(IF(T315="""",0,COUNTA(SPLIT(T315,"" ""))),0,""Generic"",1,TRIM(T315),2,""Multicolor"",3,""Multicolor"",4,""Multicolor"",5,""Multicolor"",6,""Multicolor"",7,""Multicolor"",8,""Multicolor""))"),"Generic")</f>
        <v>Generic</v>
      </c>
      <c r="E315" s="1"/>
      <c r="F315" s="1"/>
      <c r="H315" s="10"/>
      <c r="I315" s="11"/>
      <c r="J315" s="11"/>
      <c r="K315" s="6" t="s">
        <v>39</v>
      </c>
      <c r="L315" s="6" t="s">
        <v>39</v>
      </c>
      <c r="O315" s="11"/>
      <c r="Q315" s="7">
        <v>60</v>
      </c>
      <c r="R315" s="7">
        <v>50</v>
      </c>
      <c r="S315" s="1" t="str">
        <f t="shared" si="18"/>
        <v>False</v>
      </c>
      <c r="T315" s="6" t="str">
        <f>IFERROR(__xludf.DUMMYFUNCTION("CONCATENATE(if(REGEXMATCH(C315,""R""),"" Red"",""""),if(REGEXMATCH(C315,""O""),"" Orange"",""""),if(REGEXMATCH(C315,""Y""),"" Yellow"",""""),if(REGEXMATCH(C315,""G""),"" Green"",""""),if(REGEXMATCH(C315,""B""),"" Blue"",""""),if(REGEXMATCH(C315,""P""),"" "&amp;"Purple"",""""))"),"")</f>
        <v/>
      </c>
      <c r="U315" s="6" t="str">
        <f>IFERROR(__xludf.DUMMYFUNCTION("TRIM(CONCAT(""[right]"", REGEXREPLACE(C315, ""([ROYGBPXZC_]|1?[0-9])"", ""[img=119]res://textures/icons/$0.png[/img]\\n"")))"),"[right]")</f>
        <v>[right]</v>
      </c>
      <c r="V315" s="1" t="str">
        <f>IFERROR(__xludf.DUMMYFUNCTION("SUBSTITUTE(SUBSTITUTE(SUBSTITUTE(SUBSTITUTE(REGEXREPLACE(SUBSTITUTE(SUBSTITUTE(SUBSTITUTE(SUBSTITUTE(REGEXREPLACE(I315, ""(\[([ROYGBPTQUXZC_]|1?[0-9])\])"", ""[img=45]res://textures/icons/$2.png[/img]""),""--"",""—""),""-&gt;"",""•""),""~@"", CONCATENATE(""["&amp;"i]"",REGEXEXTRACT(B315,""^([\s\S]*),|$""),""[/i]"")),""~"", CONCATENATE(""[i]"",B315,""[/i]"")),""(\([\s\S]*?\))"",""[i][color=#34343A]$0[/color][/i]""), ""&lt;"", ""[""), ""&gt;"", ""]""), ""[/p][p]"", ""[font_size=15]\n\n[/font_size]""), ""[br/]"", ""\n"")"),"")</f>
        <v/>
      </c>
      <c r="W315" s="6" t="str">
        <f t="shared" si="19"/>
        <v>[i][/i]</v>
      </c>
      <c r="X315" s="1" t="str">
        <f t="shared" si="20"/>
        <v>0</v>
      </c>
      <c r="Y315" s="1"/>
    </row>
    <row r="316">
      <c r="A316" s="7" t="s">
        <v>76</v>
      </c>
      <c r="B316" s="6" t="str">
        <f t="shared" si="21"/>
        <v>C</v>
      </c>
      <c r="C316" s="8"/>
      <c r="D316" s="9" t="str">
        <f>IFERROR(__xludf.DUMMYFUNCTION("IF(ISBLANK(A316),"""",SWITCH(IF(T316="""",0,COUNTA(SPLIT(T316,"" ""))),0,""Generic"",1,TRIM(T316),2,""Multicolor"",3,""Multicolor"",4,""Multicolor"",5,""Multicolor"",6,""Multicolor"",7,""Multicolor"",8,""Multicolor""))"),"Generic")</f>
        <v>Generic</v>
      </c>
      <c r="E316" s="1"/>
      <c r="F316" s="1"/>
      <c r="H316" s="10"/>
      <c r="I316" s="11"/>
      <c r="J316" s="11"/>
      <c r="K316" s="6" t="s">
        <v>39</v>
      </c>
      <c r="L316" s="6" t="s">
        <v>39</v>
      </c>
      <c r="O316" s="11"/>
      <c r="Q316" s="7">
        <v>60</v>
      </c>
      <c r="R316" s="7">
        <v>50</v>
      </c>
      <c r="S316" s="1" t="str">
        <f t="shared" si="18"/>
        <v>False</v>
      </c>
      <c r="T316" s="6" t="str">
        <f>IFERROR(__xludf.DUMMYFUNCTION("CONCATENATE(if(REGEXMATCH(C316,""R""),"" Red"",""""),if(REGEXMATCH(C316,""O""),"" Orange"",""""),if(REGEXMATCH(C316,""Y""),"" Yellow"",""""),if(REGEXMATCH(C316,""G""),"" Green"",""""),if(REGEXMATCH(C316,""B""),"" Blue"",""""),if(REGEXMATCH(C316,""P""),"" "&amp;"Purple"",""""))"),"")</f>
        <v/>
      </c>
      <c r="U316" s="6" t="str">
        <f>IFERROR(__xludf.DUMMYFUNCTION("TRIM(CONCAT(""[right]"", REGEXREPLACE(C316, ""([ROYGBPXZC_]|1?[0-9])"", ""[img=119]res://textures/icons/$0.png[/img]\\n"")))"),"[right]")</f>
        <v>[right]</v>
      </c>
      <c r="V316" s="1" t="str">
        <f>IFERROR(__xludf.DUMMYFUNCTION("SUBSTITUTE(SUBSTITUTE(SUBSTITUTE(SUBSTITUTE(REGEXREPLACE(SUBSTITUTE(SUBSTITUTE(SUBSTITUTE(SUBSTITUTE(REGEXREPLACE(I316, ""(\[([ROYGBPTQUXZC_]|1?[0-9])\])"", ""[img=45]res://textures/icons/$2.png[/img]""),""--"",""—""),""-&gt;"",""•""),""~@"", CONCATENATE(""["&amp;"i]"",REGEXEXTRACT(B316,""^([\s\S]*),|$""),""[/i]"")),""~"", CONCATENATE(""[i]"",B316,""[/i]"")),""(\([\s\S]*?\))"",""[i][color=#34343A]$0[/color][/i]""), ""&lt;"", ""[""), ""&gt;"", ""]""), ""[/p][p]"", ""[font_size=15]\n\n[/font_size]""), ""[br/]"", ""\n"")"),"")</f>
        <v/>
      </c>
      <c r="W316" s="6" t="str">
        <f t="shared" si="19"/>
        <v>[i][/i]</v>
      </c>
      <c r="X316" s="1" t="str">
        <f t="shared" si="20"/>
        <v>0</v>
      </c>
      <c r="Y316" s="1"/>
    </row>
    <row r="317">
      <c r="A317" s="7" t="s">
        <v>76</v>
      </c>
      <c r="B317" s="6" t="str">
        <f t="shared" si="21"/>
        <v>C</v>
      </c>
      <c r="C317" s="8"/>
      <c r="D317" s="9" t="str">
        <f>IFERROR(__xludf.DUMMYFUNCTION("IF(ISBLANK(A317),"""",SWITCH(IF(T317="""",0,COUNTA(SPLIT(T317,"" ""))),0,""Generic"",1,TRIM(T317),2,""Multicolor"",3,""Multicolor"",4,""Multicolor"",5,""Multicolor"",6,""Multicolor"",7,""Multicolor"",8,""Multicolor""))"),"Generic")</f>
        <v>Generic</v>
      </c>
      <c r="E317" s="1"/>
      <c r="F317" s="1"/>
      <c r="H317" s="10"/>
      <c r="I317" s="11"/>
      <c r="J317" s="11"/>
      <c r="K317" s="6" t="s">
        <v>39</v>
      </c>
      <c r="L317" s="6" t="s">
        <v>39</v>
      </c>
      <c r="O317" s="11"/>
      <c r="Q317" s="7">
        <v>60</v>
      </c>
      <c r="R317" s="7">
        <v>50</v>
      </c>
      <c r="S317" s="1" t="str">
        <f t="shared" si="18"/>
        <v>False</v>
      </c>
      <c r="T317" s="6" t="str">
        <f>IFERROR(__xludf.DUMMYFUNCTION("CONCATENATE(if(REGEXMATCH(C317,""R""),"" Red"",""""),if(REGEXMATCH(C317,""O""),"" Orange"",""""),if(REGEXMATCH(C317,""Y""),"" Yellow"",""""),if(REGEXMATCH(C317,""G""),"" Green"",""""),if(REGEXMATCH(C317,""B""),"" Blue"",""""),if(REGEXMATCH(C317,""P""),"" "&amp;"Purple"",""""))"),"")</f>
        <v/>
      </c>
      <c r="U317" s="6" t="str">
        <f>IFERROR(__xludf.DUMMYFUNCTION("TRIM(CONCAT(""[right]"", REGEXREPLACE(C317, ""([ROYGBPXZC_]|1?[0-9])"", ""[img=119]res://textures/icons/$0.png[/img]\\n"")))"),"[right]")</f>
        <v>[right]</v>
      </c>
      <c r="V317" s="1" t="str">
        <f>IFERROR(__xludf.DUMMYFUNCTION("SUBSTITUTE(SUBSTITUTE(SUBSTITUTE(SUBSTITUTE(REGEXREPLACE(SUBSTITUTE(SUBSTITUTE(SUBSTITUTE(SUBSTITUTE(REGEXREPLACE(I317, ""(\[([ROYGBPTQUXZC_]|1?[0-9])\])"", ""[img=45]res://textures/icons/$2.png[/img]""),""--"",""—""),""-&gt;"",""•""),""~@"", CONCATENATE(""["&amp;"i]"",REGEXEXTRACT(B317,""^([\s\S]*),|$""),""[/i]"")),""~"", CONCATENATE(""[i]"",B317,""[/i]"")),""(\([\s\S]*?\))"",""[i][color=#34343A]$0[/color][/i]""), ""&lt;"", ""[""), ""&gt;"", ""]""), ""[/p][p]"", ""[font_size=15]\n\n[/font_size]""), ""[br/]"", ""\n"")"),"")</f>
        <v/>
      </c>
      <c r="W317" s="6" t="str">
        <f t="shared" si="19"/>
        <v>[i][/i]</v>
      </c>
      <c r="X317" s="1" t="str">
        <f t="shared" si="20"/>
        <v>0</v>
      </c>
      <c r="Y317" s="1"/>
    </row>
    <row r="318">
      <c r="A318" s="7" t="s">
        <v>464</v>
      </c>
      <c r="B318" s="7" t="s">
        <v>465</v>
      </c>
      <c r="C318" s="12" t="s">
        <v>87</v>
      </c>
      <c r="D318" s="9" t="str">
        <f>IFERROR(__xludf.DUMMYFUNCTION("IF(ISBLANK(A318),"""",SWITCH(IF(T318="""",0,COUNTA(SPLIT(T318,"" ""))),0,""Generic"",1,TRIM(T318),2,""Multicolor"",3,""Multicolor"",4,""Multicolor"",5,""Multicolor"",6,""Multicolor"",7,""Multicolor"",8,""Multicolor""))"),"Multicolor")</f>
        <v>Multicolor</v>
      </c>
      <c r="E318" s="1"/>
      <c r="F318" s="1" t="s">
        <v>26</v>
      </c>
      <c r="G318" s="7" t="s">
        <v>458</v>
      </c>
      <c r="H318" s="10" t="s">
        <v>70</v>
      </c>
      <c r="I318" s="11" t="s">
        <v>466</v>
      </c>
      <c r="J318" s="11"/>
      <c r="K318" s="6" t="s">
        <v>39</v>
      </c>
      <c r="L318" s="6" t="s">
        <v>39</v>
      </c>
      <c r="O318" s="11"/>
      <c r="Q318" s="7">
        <v>60</v>
      </c>
      <c r="R318" s="7">
        <v>50</v>
      </c>
      <c r="S318" s="1" t="str">
        <f t="shared" si="18"/>
        <v>False</v>
      </c>
      <c r="T318" s="6" t="str">
        <f>IFERROR(__xludf.DUMMYFUNCTION("CONCATENATE(if(REGEXMATCH(C318,""R""),"" Red"",""""),if(REGEXMATCH(C318,""O""),"" Orange"",""""),if(REGEXMATCH(C318,""Y""),"" Yellow"",""""),if(REGEXMATCH(C318,""G""),"" Green"",""""),if(REGEXMATCH(C318,""B""),"" Blue"",""""),if(REGEXMATCH(C318,""P""),"" "&amp;"Purple"",""""))")," Red Yellow")</f>
        <v xml:space="preserve">Red Yellow</v>
      </c>
      <c r="U318" s="6" t="str">
        <f>IFERROR(__xludf.DUMMYFUNCTION("TRIM(CONCAT(""[right]"", REGEXREPLACE(C318, ""([ROYGBPXZC_]|1?[0-9])"", ""[img=119]res://textures/icons/$0.png[/img]\\n"")))"),"[right][img=119]res://textures/icons/R.png[/img]\n[img=119]res://textures/icons/Y.png[/img]\n")</f>
        <v>[right][img=119]res://textures/icons/R.png[/img]\n[img=119]res://textures/icons/Y.png[/img]\n</v>
      </c>
      <c r="V318" s="1" t="str">
        <f>IFERROR(__xludf.DUMMYFUNCTION("SUBSTITUTE(SUBSTITUTE(SUBSTITUTE(SUBSTITUTE(REGEXREPLACE(SUBSTITUTE(SUBSTITUTE(SUBSTITUTE(SUBSTITUTE(REGEXREPLACE(I318, ""(\[([ROYGBPTQUXZC_]|1?[0-9])\])"", ""[img=45]res://textures/icons/$2.png[/img]""),""--"",""—""),""-&gt;"",""•""),""~@"", CONCATENATE(""["&amp;"i]"",REGEXEXTRACT(B318,""^([\s\S]*),|$""),""[/i]"")),""~"", CONCATENATE(""[i]"",B318,""[/i]"")),""(\([\s\S]*?\))"",""[i][color=#34343A]$0[/color][/i]""), ""&lt;"", ""[""), ""&gt;"", ""]""), ""[/p][p]"", ""[font_size=15]\n\n[/font_size]""), ""[br/]"", ""\n"")"),"Choose 2 combatants owned by different players; they can't attack nor intercept anything but each other. When the first one dies, its owner must sacrifice an asset [i][color=#34343A](other than [i]To The Death![/i])[/color][/i].")</f>
        <v xml:space="preserve">Choose 2 combatants owned by different players; they can't attack nor intercept anything but each other. When the first one dies, its owner must sacrifice an asset [i][color=#34343A](other than [i]To The Death![/i])[/color][/i].</v>
      </c>
      <c r="W318" s="6" t="str">
        <f t="shared" si="19"/>
        <v>[i]Asset[/i]</v>
      </c>
      <c r="X318" s="1" t="str">
        <f t="shared" si="20"/>
        <v>RS_MU_RY_005</v>
      </c>
      <c r="Y318" s="1"/>
    </row>
    <row r="319">
      <c r="A319" s="6"/>
      <c r="B319" s="6"/>
      <c r="C319" s="12"/>
      <c r="D319" s="9"/>
      <c r="E319" s="1"/>
      <c r="F319" s="1"/>
      <c r="G319" s="14"/>
      <c r="H319" s="10"/>
      <c r="I319" s="11"/>
      <c r="J319" s="11"/>
      <c r="K319" s="6" t="s">
        <v>39</v>
      </c>
      <c r="L319" s="6" t="s">
        <v>39</v>
      </c>
      <c r="O319" s="11"/>
      <c r="Q319" s="7">
        <v>60</v>
      </c>
      <c r="R319" s="7">
        <v>50</v>
      </c>
      <c r="S319" s="1" t="str">
        <f t="shared" si="18"/>
        <v/>
      </c>
      <c r="T319" s="6" t="str">
        <f>IFERROR(__xludf.DUMMYFUNCTION("CONCATENATE(if(REGEXMATCH(C319,""R""),"" Red"",""""),if(REGEXMATCH(C319,""O""),"" Orange"",""""),if(REGEXMATCH(C319,""Y""),"" Yellow"",""""),if(REGEXMATCH(C319,""G""),"" Green"",""""),if(REGEXMATCH(C319,""B""),"" Blue"",""""),if(REGEXMATCH(C319,""P""),"" "&amp;"Purple"",""""))"),"")</f>
        <v/>
      </c>
      <c r="U319" s="6" t="str">
        <f>IFERROR(__xludf.DUMMYFUNCTION("TRIM(CONCAT(""[right]"", REGEXREPLACE(C319, ""([ROYGBPXZC_]|1?[0-9])"", ""[img=119]res://textures/icons/$0.png[/img]\\n"")))"),"[right]")</f>
        <v>[right]</v>
      </c>
      <c r="V319" s="1" t="str">
        <f>IFERROR(__xludf.DUMMYFUNCTION("SUBSTITUTE(SUBSTITUTE(SUBSTITUTE(SUBSTITUTE(REGEXREPLACE(SUBSTITUTE(SUBSTITUTE(SUBSTITUTE(SUBSTITUTE(REGEXREPLACE(I319, ""(\[([ROYGBPTQUXZC_]|1?[0-9])\])"", ""[img=45]res://textures/icons/$2.png[/img]""),""--"",""—""),""-&gt;"",""•""),""~@"", CONCATENATE(""["&amp;"i]"",REGEXEXTRACT(B319,""^([\s\S]*),|$""),""[/i]"")),""~"", CONCATENATE(""[i]"",B319,""[/i]"")),""(\([\s\S]*?\))"",""[i][color=#34343A]$0[/color][/i]""), ""&lt;"", ""[""), ""&gt;"", ""]""), ""[/p][p]"", ""[font_size=15]\n\n[/font_size]""), ""[br/]"", ""\n"")"),"")</f>
        <v/>
      </c>
      <c r="W319" s="6" t="str">
        <f t="shared" si="19"/>
        <v>[i][/i]</v>
      </c>
      <c r="X319" s="1" t="str">
        <f t="shared" si="20"/>
        <v>0</v>
      </c>
      <c r="Y319" s="1"/>
    </row>
    <row r="320">
      <c r="A320" s="6"/>
      <c r="B320" s="6"/>
      <c r="C320" s="12"/>
      <c r="D320" s="9"/>
      <c r="E320" s="1"/>
      <c r="F320" s="1"/>
      <c r="H320" s="10"/>
      <c r="I320" s="11"/>
      <c r="J320" s="11"/>
      <c r="K320" s="6" t="s">
        <v>39</v>
      </c>
      <c r="L320" s="6" t="s">
        <v>39</v>
      </c>
      <c r="O320" s="11"/>
      <c r="Q320" s="7">
        <v>60</v>
      </c>
      <c r="R320" s="7">
        <v>50</v>
      </c>
      <c r="S320" s="1" t="str">
        <f t="shared" si="18"/>
        <v/>
      </c>
      <c r="T320" s="6" t="str">
        <f>IFERROR(__xludf.DUMMYFUNCTION("CONCATENATE(if(REGEXMATCH(C320,""R""),"" Red"",""""),if(REGEXMATCH(C320,""O""),"" Orange"",""""),if(REGEXMATCH(C320,""Y""),"" Yellow"",""""),if(REGEXMATCH(C320,""G""),"" Green"",""""),if(REGEXMATCH(C320,""B""),"" Blue"",""""),if(REGEXMATCH(C320,""P""),"" "&amp;"Purple"",""""))"),"")</f>
        <v/>
      </c>
      <c r="U320" s="6" t="str">
        <f>IFERROR(__xludf.DUMMYFUNCTION("TRIM(CONCAT(""[right]"", REGEXREPLACE(C320, ""([ROYGBPXZC_]|1?[0-9])"", ""[img=119]res://textures/icons/$0.png[/img]\\n"")))"),"[right]")</f>
        <v>[right]</v>
      </c>
      <c r="V320" s="1" t="str">
        <f>IFERROR(__xludf.DUMMYFUNCTION("SUBSTITUTE(SUBSTITUTE(SUBSTITUTE(SUBSTITUTE(REGEXREPLACE(SUBSTITUTE(SUBSTITUTE(SUBSTITUTE(SUBSTITUTE(REGEXREPLACE(I320, ""(\[([ROYGBPTQUXZC_]|1?[0-9])\])"", ""[img=45]res://textures/icons/$2.png[/img]""),""--"",""—""),""-&gt;"",""•""),""~@"", CONCATENATE(""["&amp;"i]"",REGEXEXTRACT(B320,""^([\s\S]*),|$""),""[/i]"")),""~"", CONCATENATE(""[i]"",B320,""[/i]"")),""(\([\s\S]*?\))"",""[i][color=#34343A]$0[/color][/i]""), ""&lt;"", ""[""), ""&gt;"", ""]""), ""[/p][p]"", ""[font_size=15]\n\n[/font_size]""), ""[br/]"", ""\n"")"),"")</f>
        <v/>
      </c>
      <c r="W320" s="6" t="str">
        <f t="shared" si="19"/>
        <v>[i][/i]</v>
      </c>
      <c r="X320" s="1" t="str">
        <f t="shared" si="20"/>
        <v>0</v>
      </c>
      <c r="Y320" s="1"/>
    </row>
    <row r="321">
      <c r="A321" s="6"/>
      <c r="B321" s="6"/>
      <c r="S321" s="1" t="str">
        <f t="shared" si="18"/>
        <v/>
      </c>
      <c r="T321" s="6" t="str">
        <f>IFERROR(__xludf.DUMMYFUNCTION("CONCATENATE(if(REGEXMATCH(C321,""R""),"" Red"",""""),if(REGEXMATCH(C321,""O""),"" Orange"",""""),if(REGEXMATCH(C321,""Y""),"" Yellow"",""""),if(REGEXMATCH(C321,""G""),"" Green"",""""),if(REGEXMATCH(C321,""B""),"" Blue"",""""),if(REGEXMATCH(C321,""P""),"" "&amp;"Purple"",""""))"),"")</f>
        <v/>
      </c>
      <c r="U321" s="6" t="str">
        <f>IFERROR(__xludf.DUMMYFUNCTION("TRIM(CONCAT(""[right]"", REGEXREPLACE(C321, ""([ROYGBPXZC_]|1?[0-9])"", ""[img=119]res://textures/icons/$0.png[/img]\\n"")))"),"[right]")</f>
        <v>[right]</v>
      </c>
      <c r="V321" s="1" t="str">
        <f>IFERROR(__xludf.DUMMYFUNCTION("SUBSTITUTE(SUBSTITUTE(SUBSTITUTE(SUBSTITUTE(REGEXREPLACE(SUBSTITUTE(SUBSTITUTE(SUBSTITUTE(SUBSTITUTE(REGEXREPLACE(I321, ""(\[([ROYGBPTQUXZC_]|1?[0-9])\])"", ""[img=45]res://textures/icons/$2.png[/img]""),""--"",""—""),""-&gt;"",""•""),""~@"", CONCATENATE(""["&amp;"i]"",REGEXEXTRACT(B321,""^([\s\S]*),|$""),""[/i]"")),""~"", CONCATENATE(""[i]"",B321,""[/i]"")),""(\([\s\S]*?\))"",""[i][color=#34343A]$0[/color][/i]""), ""&lt;"", ""[""), ""&gt;"", ""]""), ""[/p][p]"", ""[font_size=15]\n\n[/font_size]""), ""[br/]"", ""\n"")"),"")</f>
        <v/>
      </c>
      <c r="W321" s="6" t="str">
        <f t="shared" si="19"/>
        <v>[i][/i]</v>
      </c>
      <c r="X321" s="1" t="str">
        <f t="shared" si="20"/>
        <v>0</v>
      </c>
      <c r="Y321" s="1"/>
    </row>
    <row r="322">
      <c r="A322" s="6"/>
      <c r="B322" s="6"/>
      <c r="S322" s="1" t="str">
        <f t="shared" ref="S322:S355" si="22">IF(ISBLANK(A322),"",IF(EQ(LEN(TRIM(K322)),0),"False","True"))</f>
        <v/>
      </c>
      <c r="T322" s="6" t="str">
        <f>IFERROR(__xludf.DUMMYFUNCTION("CONCATENATE(if(REGEXMATCH(C322,""R""),"" Red"",""""),if(REGEXMATCH(C322,""O""),"" Orange"",""""),if(REGEXMATCH(C322,""Y""),"" Yellow"",""""),if(REGEXMATCH(C322,""G""),"" Green"",""""),if(REGEXMATCH(C322,""B""),"" Blue"",""""),if(REGEXMATCH(C322,""P""),"" "&amp;"Purple"",""""))"),"")</f>
        <v/>
      </c>
      <c r="U322" s="6" t="str">
        <f>IFERROR(__xludf.DUMMYFUNCTION("TRIM(CONCAT(""[right]"", REGEXREPLACE(C322, ""([ROYGBPXZC_]|1?[0-9])"", ""[img=119]res://textures/icons/$0.png[/img]\\n"")))"),"[right]")</f>
        <v>[right]</v>
      </c>
      <c r="V322" s="1" t="str">
        <f>IFERROR(__xludf.DUMMYFUNCTION("SUBSTITUTE(SUBSTITUTE(SUBSTITUTE(SUBSTITUTE(REGEXREPLACE(SUBSTITUTE(SUBSTITUTE(SUBSTITUTE(SUBSTITUTE(REGEXREPLACE(I322, ""(\[([ROYGBPTQUXZC_]|1?[0-9])\])"", ""[img=45]res://textures/icons/$2.png[/img]""),""--"",""—""),""-&gt;"",""•""),""~@"", CONCATENATE(""["&amp;"i]"",REGEXEXTRACT(B322,""^([\s\S]*),|$""),""[/i]"")),""~"", CONCATENATE(""[i]"",B322,""[/i]"")),""(\([\s\S]*?\))"",""[i][color=#34343A]$0[/color][/i]""), ""&lt;"", ""[""), ""&gt;"", ""]""), ""[/p][p]"", ""[font_size=15]\n\n[/font_size]""), ""[br/]"", ""\n"")"),"")</f>
        <v/>
      </c>
      <c r="W322" s="6" t="str">
        <f t="shared" ref="W322:W355" si="23">CONCATENATE("[i]",F322,"[/i]")</f>
        <v>[i][/i]</v>
      </c>
      <c r="X322" s="1" t="str">
        <f t="shared" ref="X322:X355" si="24">IF(EQ(A322,B322),"0",CONCATENATE("RS_",A322))</f>
        <v>0</v>
      </c>
      <c r="Y322" s="1"/>
    </row>
    <row r="323">
      <c r="A323" s="6"/>
      <c r="B323" s="6"/>
      <c r="S323" s="1" t="str">
        <f t="shared" si="22"/>
        <v/>
      </c>
      <c r="T323" s="6" t="str">
        <f>IFERROR(__xludf.DUMMYFUNCTION("CONCATENATE(if(REGEXMATCH(C323,""R""),"" Red"",""""),if(REGEXMATCH(C323,""O""),"" Orange"",""""),if(REGEXMATCH(C323,""Y""),"" Yellow"",""""),if(REGEXMATCH(C323,""G""),"" Green"",""""),if(REGEXMATCH(C323,""B""),"" Blue"",""""),if(REGEXMATCH(C323,""P""),"" "&amp;"Purple"",""""))"),"")</f>
        <v/>
      </c>
      <c r="U323" s="6" t="str">
        <f>IFERROR(__xludf.DUMMYFUNCTION("TRIM(CONCAT(""[right]"", REGEXREPLACE(C323, ""([ROYGBPXZC_]|1?[0-9])"", ""[img=119]res://textures/icons/$0.png[/img]\\n"")))"),"[right]")</f>
        <v>[right]</v>
      </c>
      <c r="V323" s="1" t="str">
        <f>IFERROR(__xludf.DUMMYFUNCTION("SUBSTITUTE(SUBSTITUTE(SUBSTITUTE(SUBSTITUTE(REGEXREPLACE(SUBSTITUTE(SUBSTITUTE(SUBSTITUTE(SUBSTITUTE(REGEXREPLACE(I323, ""(\[([ROYGBPTQUXZC_]|1?[0-9])\])"", ""[img=45]res://textures/icons/$2.png[/img]""),""--"",""—""),""-&gt;"",""•""),""~@"", CONCATENATE(""["&amp;"i]"",REGEXEXTRACT(B323,""^([\s\S]*),|$""),""[/i]"")),""~"", CONCATENATE(""[i]"",B323,""[/i]"")),""(\([\s\S]*?\))"",""[i][color=#34343A]$0[/color][/i]""), ""&lt;"", ""[""), ""&gt;"", ""]""), ""[/p][p]"", ""[font_size=15]\n\n[/font_size]""), ""[br/]"", ""\n"")"),"")</f>
        <v/>
      </c>
      <c r="W323" s="6" t="str">
        <f t="shared" si="23"/>
        <v>[i][/i]</v>
      </c>
      <c r="X323" s="1" t="str">
        <f t="shared" si="24"/>
        <v>0</v>
      </c>
      <c r="Y323" s="1"/>
    </row>
    <row r="324">
      <c r="A324" s="6"/>
      <c r="B324" s="6"/>
      <c r="S324" s="1" t="str">
        <f t="shared" si="22"/>
        <v/>
      </c>
      <c r="T324" s="6" t="str">
        <f>IFERROR(__xludf.DUMMYFUNCTION("CONCATENATE(if(REGEXMATCH(C324,""R""),"" Red"",""""),if(REGEXMATCH(C324,""O""),"" Orange"",""""),if(REGEXMATCH(C324,""Y""),"" Yellow"",""""),if(REGEXMATCH(C324,""G""),"" Green"",""""),if(REGEXMATCH(C324,""B""),"" Blue"",""""),if(REGEXMATCH(C324,""P""),"" "&amp;"Purple"",""""))"),"")</f>
        <v/>
      </c>
      <c r="U324" s="6" t="str">
        <f>IFERROR(__xludf.DUMMYFUNCTION("TRIM(CONCAT(""[right]"", REGEXREPLACE(C324, ""([ROYGBPXZC_]|1?[0-9])"", ""[img=119]res://textures/icons/$0.png[/img]\\n"")))"),"[right]")</f>
        <v>[right]</v>
      </c>
      <c r="V324" s="1" t="str">
        <f>IFERROR(__xludf.DUMMYFUNCTION("SUBSTITUTE(SUBSTITUTE(SUBSTITUTE(SUBSTITUTE(REGEXREPLACE(SUBSTITUTE(SUBSTITUTE(SUBSTITUTE(SUBSTITUTE(REGEXREPLACE(I324, ""(\[([ROYGBPTQUXZC_]|1?[0-9])\])"", ""[img=45]res://textures/icons/$2.png[/img]""),""--"",""—""),""-&gt;"",""•""),""~@"", CONCATENATE(""["&amp;"i]"",REGEXEXTRACT(B324,""^([\s\S]*),|$""),""[/i]"")),""~"", CONCATENATE(""[i]"",B324,""[/i]"")),""(\([\s\S]*?\))"",""[i][color=#34343A]$0[/color][/i]""), ""&lt;"", ""[""), ""&gt;"", ""]""), ""[/p][p]"", ""[font_size=15]\n\n[/font_size]""), ""[br/]"", ""\n"")"),"")</f>
        <v/>
      </c>
      <c r="W324" s="6" t="str">
        <f t="shared" si="23"/>
        <v>[i][/i]</v>
      </c>
      <c r="X324" s="1" t="str">
        <f t="shared" si="24"/>
        <v>0</v>
      </c>
      <c r="Y324" s="1"/>
    </row>
    <row r="325">
      <c r="A325" s="6"/>
      <c r="B325" s="6"/>
      <c r="S325" s="1" t="str">
        <f t="shared" si="22"/>
        <v/>
      </c>
      <c r="T325" s="6" t="str">
        <f>IFERROR(__xludf.DUMMYFUNCTION("CONCATENATE(if(REGEXMATCH(C325,""R""),"" Red"",""""),if(REGEXMATCH(C325,""O""),"" Orange"",""""),if(REGEXMATCH(C325,""Y""),"" Yellow"",""""),if(REGEXMATCH(C325,""G""),"" Green"",""""),if(REGEXMATCH(C325,""B""),"" Blue"",""""),if(REGEXMATCH(C325,""P""),"" "&amp;"Purple"",""""))"),"")</f>
        <v/>
      </c>
      <c r="U325" s="6" t="str">
        <f>IFERROR(__xludf.DUMMYFUNCTION("TRIM(CONCAT(""[right]"", REGEXREPLACE(C325, ""([ROYGBPXZC_]|1?[0-9])"", ""[img=119]res://textures/icons/$0.png[/img]\\n"")))"),"[right]")</f>
        <v>[right]</v>
      </c>
      <c r="V325" s="1" t="str">
        <f>IFERROR(__xludf.DUMMYFUNCTION("SUBSTITUTE(SUBSTITUTE(SUBSTITUTE(SUBSTITUTE(REGEXREPLACE(SUBSTITUTE(SUBSTITUTE(SUBSTITUTE(SUBSTITUTE(REGEXREPLACE(I325, ""(\[([ROYGBPTQUXZC_]|1?[0-9])\])"", ""[img=45]res://textures/icons/$2.png[/img]""),""--"",""—""),""-&gt;"",""•""),""~@"", CONCATENATE(""["&amp;"i]"",REGEXEXTRACT(B325,""^([\s\S]*),|$""),""[/i]"")),""~"", CONCATENATE(""[i]"",B325,""[/i]"")),""(\([\s\S]*?\))"",""[i][color=#34343A]$0[/color][/i]""), ""&lt;"", ""[""), ""&gt;"", ""]""), ""[/p][p]"", ""[font_size=15]\n\n[/font_size]""), ""[br/]"", ""\n"")"),"")</f>
        <v/>
      </c>
      <c r="W325" s="6" t="str">
        <f t="shared" si="23"/>
        <v>[i][/i]</v>
      </c>
      <c r="X325" s="1" t="str">
        <f t="shared" si="24"/>
        <v>0</v>
      </c>
      <c r="Y325" s="1"/>
    </row>
    <row r="326">
      <c r="A326" s="6"/>
      <c r="B326" s="6"/>
      <c r="S326" s="1" t="str">
        <f t="shared" si="22"/>
        <v/>
      </c>
      <c r="T326" s="6" t="str">
        <f>IFERROR(__xludf.DUMMYFUNCTION("CONCATENATE(if(REGEXMATCH(C326,""R""),"" Red"",""""),if(REGEXMATCH(C326,""O""),"" Orange"",""""),if(REGEXMATCH(C326,""Y""),"" Yellow"",""""),if(REGEXMATCH(C326,""G""),"" Green"",""""),if(REGEXMATCH(C326,""B""),"" Blue"",""""),if(REGEXMATCH(C326,""P""),"" "&amp;"Purple"",""""))"),"")</f>
        <v/>
      </c>
      <c r="U326" s="6" t="str">
        <f>IFERROR(__xludf.DUMMYFUNCTION("TRIM(CONCAT(""[right]"", REGEXREPLACE(C326, ""([ROYGBPXZC_]|1?[0-9])"", ""[img=119]res://textures/icons/$0.png[/img]\\n"")))"),"[right]")</f>
        <v>[right]</v>
      </c>
      <c r="V326" s="1" t="str">
        <f>IFERROR(__xludf.DUMMYFUNCTION("SUBSTITUTE(SUBSTITUTE(SUBSTITUTE(SUBSTITUTE(REGEXREPLACE(SUBSTITUTE(SUBSTITUTE(SUBSTITUTE(SUBSTITUTE(REGEXREPLACE(I326, ""(\[([ROYGBPTQUXZC_]|1?[0-9])\])"", ""[img=45]res://textures/icons/$2.png[/img]""),""--"",""—""),""-&gt;"",""•""),""~@"", CONCATENATE(""["&amp;"i]"",REGEXEXTRACT(B326,""^([\s\S]*),|$""),""[/i]"")),""~"", CONCATENATE(""[i]"",B326,""[/i]"")),""(\([\s\S]*?\))"",""[i][color=#34343A]$0[/color][/i]""), ""&lt;"", ""[""), ""&gt;"", ""]""), ""[/p][p]"", ""[font_size=15]\n\n[/font_size]""), ""[br/]"", ""\n"")"),"")</f>
        <v/>
      </c>
      <c r="W326" s="6" t="str">
        <f t="shared" si="23"/>
        <v>[i][/i]</v>
      </c>
      <c r="X326" s="1" t="str">
        <f t="shared" si="24"/>
        <v>0</v>
      </c>
      <c r="Y326" s="1"/>
    </row>
    <row r="327">
      <c r="A327" s="6"/>
      <c r="B327" s="6"/>
      <c r="S327" s="1" t="str">
        <f t="shared" si="22"/>
        <v/>
      </c>
      <c r="T327" s="6" t="str">
        <f>IFERROR(__xludf.DUMMYFUNCTION("CONCATENATE(if(REGEXMATCH(C327,""R""),"" Red"",""""),if(REGEXMATCH(C327,""O""),"" Orange"",""""),if(REGEXMATCH(C327,""Y""),"" Yellow"",""""),if(REGEXMATCH(C327,""G""),"" Green"",""""),if(REGEXMATCH(C327,""B""),"" Blue"",""""),if(REGEXMATCH(C327,""P""),"" "&amp;"Purple"",""""))"),"")</f>
        <v/>
      </c>
      <c r="U327" s="6" t="str">
        <f>IFERROR(__xludf.DUMMYFUNCTION("TRIM(CONCAT(""[right]"", REGEXREPLACE(C327, ""([ROYGBPXZC_]|1?[0-9])"", ""[img=119]res://textures/icons/$0.png[/img]\\n"")))"),"[right]")</f>
        <v>[right]</v>
      </c>
      <c r="V327" s="1" t="str">
        <f>IFERROR(__xludf.DUMMYFUNCTION("SUBSTITUTE(SUBSTITUTE(SUBSTITUTE(SUBSTITUTE(REGEXREPLACE(SUBSTITUTE(SUBSTITUTE(SUBSTITUTE(SUBSTITUTE(REGEXREPLACE(I327, ""(\[([ROYGBPTQUXZC_]|1?[0-9])\])"", ""[img=45]res://textures/icons/$2.png[/img]""),""--"",""—""),""-&gt;"",""•""),""~@"", CONCATENATE(""["&amp;"i]"",REGEXEXTRACT(B327,""^([\s\S]*),|$""),""[/i]"")),""~"", CONCATENATE(""[i]"",B327,""[/i]"")),""(\([\s\S]*?\))"",""[i][color=#34343A]$0[/color][/i]""), ""&lt;"", ""[""), ""&gt;"", ""]""), ""[/p][p]"", ""[font_size=15]\n\n[/font_size]""), ""[br/]"", ""\n"")"),"")</f>
        <v/>
      </c>
      <c r="W327" s="6" t="str">
        <f t="shared" si="23"/>
        <v>[i][/i]</v>
      </c>
      <c r="X327" s="1" t="str">
        <f t="shared" si="24"/>
        <v>0</v>
      </c>
      <c r="Y327" s="1"/>
    </row>
    <row r="328">
      <c r="A328" s="6"/>
      <c r="B328" s="6"/>
      <c r="S328" s="1" t="str">
        <f t="shared" si="22"/>
        <v/>
      </c>
      <c r="T328" s="6" t="str">
        <f>IFERROR(__xludf.DUMMYFUNCTION("CONCATENATE(if(REGEXMATCH(C328,""R""),"" Red"",""""),if(REGEXMATCH(C328,""O""),"" Orange"",""""),if(REGEXMATCH(C328,""Y""),"" Yellow"",""""),if(REGEXMATCH(C328,""G""),"" Green"",""""),if(REGEXMATCH(C328,""B""),"" Blue"",""""),if(REGEXMATCH(C328,""P""),"" "&amp;"Purple"",""""))"),"")</f>
        <v/>
      </c>
      <c r="U328" s="6" t="str">
        <f>IFERROR(__xludf.DUMMYFUNCTION("TRIM(CONCAT(""[right]"", REGEXREPLACE(C328, ""([ROYGBPXZC_]|1?[0-9])"", ""[img=119]res://textures/icons/$0.png[/img]\\n"")))"),"[right]")</f>
        <v>[right]</v>
      </c>
      <c r="V328" s="1" t="str">
        <f>IFERROR(__xludf.DUMMYFUNCTION("SUBSTITUTE(SUBSTITUTE(SUBSTITUTE(SUBSTITUTE(REGEXREPLACE(SUBSTITUTE(SUBSTITUTE(SUBSTITUTE(SUBSTITUTE(REGEXREPLACE(I328, ""(\[([ROYGBPTQUXZC_]|1?[0-9])\])"", ""[img=45]res://textures/icons/$2.png[/img]""),""--"",""—""),""-&gt;"",""•""),""~@"", CONCATENATE(""["&amp;"i]"",REGEXEXTRACT(B328,""^([\s\S]*),|$""),""[/i]"")),""~"", CONCATENATE(""[i]"",B328,""[/i]"")),""(\([\s\S]*?\))"",""[i][color=#34343A]$0[/color][/i]""), ""&lt;"", ""[""), ""&gt;"", ""]""), ""[/p][p]"", ""[font_size=15]\n\n[/font_size]""), ""[br/]"", ""\n"")"),"")</f>
        <v/>
      </c>
      <c r="W328" s="6" t="str">
        <f t="shared" si="23"/>
        <v>[i][/i]</v>
      </c>
      <c r="X328" s="1" t="str">
        <f t="shared" si="24"/>
        <v>0</v>
      </c>
      <c r="Y328" s="1"/>
    </row>
    <row r="329">
      <c r="A329" s="6"/>
      <c r="B329" s="6"/>
      <c r="S329" s="1" t="str">
        <f t="shared" si="22"/>
        <v/>
      </c>
      <c r="T329" s="6" t="str">
        <f>IFERROR(__xludf.DUMMYFUNCTION("CONCATENATE(if(REGEXMATCH(C329,""R""),"" Red"",""""),if(REGEXMATCH(C329,""O""),"" Orange"",""""),if(REGEXMATCH(C329,""Y""),"" Yellow"",""""),if(REGEXMATCH(C329,""G""),"" Green"",""""),if(REGEXMATCH(C329,""B""),"" Blue"",""""),if(REGEXMATCH(C329,""P""),"" "&amp;"Purple"",""""))"),"")</f>
        <v/>
      </c>
      <c r="U329" s="6" t="str">
        <f>IFERROR(__xludf.DUMMYFUNCTION("TRIM(CONCAT(""[right]"", REGEXREPLACE(C329, ""([ROYGBPXZC_]|1?[0-9])"", ""[img=119]res://textures/icons/$0.png[/img]\\n"")))"),"[right]")</f>
        <v>[right]</v>
      </c>
      <c r="V329" s="1" t="str">
        <f>IFERROR(__xludf.DUMMYFUNCTION("SUBSTITUTE(SUBSTITUTE(SUBSTITUTE(SUBSTITUTE(REGEXREPLACE(SUBSTITUTE(SUBSTITUTE(SUBSTITUTE(SUBSTITUTE(REGEXREPLACE(I329, ""(\[([ROYGBPTQUXZC_]|1?[0-9])\])"", ""[img=45]res://textures/icons/$2.png[/img]""),""--"",""—""),""-&gt;"",""•""),""~@"", CONCATENATE(""["&amp;"i]"",REGEXEXTRACT(B329,""^([\s\S]*),|$""),""[/i]"")),""~"", CONCATENATE(""[i]"",B329,""[/i]"")),""(\([\s\S]*?\))"",""[i][color=#34343A]$0[/color][/i]""), ""&lt;"", ""[""), ""&gt;"", ""]""), ""[/p][p]"", ""[font_size=15]\n\n[/font_size]""), ""[br/]"", ""\n"")"),"")</f>
        <v/>
      </c>
      <c r="W329" s="6" t="str">
        <f t="shared" si="23"/>
        <v>[i][/i]</v>
      </c>
      <c r="X329" s="1" t="str">
        <f t="shared" si="24"/>
        <v>0</v>
      </c>
      <c r="Y329" s="1"/>
    </row>
    <row r="330">
      <c r="A330" s="6"/>
      <c r="B330" s="6"/>
      <c r="S330" s="1" t="str">
        <f t="shared" si="22"/>
        <v/>
      </c>
      <c r="T330" s="6" t="str">
        <f>IFERROR(__xludf.DUMMYFUNCTION("CONCATENATE(if(REGEXMATCH(C330,""R""),"" Red"",""""),if(REGEXMATCH(C330,""O""),"" Orange"",""""),if(REGEXMATCH(C330,""Y""),"" Yellow"",""""),if(REGEXMATCH(C330,""G""),"" Green"",""""),if(REGEXMATCH(C330,""B""),"" Blue"",""""),if(REGEXMATCH(C330,""P""),"" "&amp;"Purple"",""""))"),"")</f>
        <v/>
      </c>
      <c r="U330" s="6" t="str">
        <f>IFERROR(__xludf.DUMMYFUNCTION("TRIM(CONCAT(""[right]"", REGEXREPLACE(C330, ""([ROYGBPXZC_]|1?[0-9])"", ""[img=119]res://textures/icons/$0.png[/img]\\n"")))"),"[right]")</f>
        <v>[right]</v>
      </c>
      <c r="V330" s="1" t="str">
        <f>IFERROR(__xludf.DUMMYFUNCTION("SUBSTITUTE(SUBSTITUTE(SUBSTITUTE(SUBSTITUTE(REGEXREPLACE(SUBSTITUTE(SUBSTITUTE(SUBSTITUTE(SUBSTITUTE(REGEXREPLACE(I330, ""(\[([ROYGBPTQUXZC_]|1?[0-9])\])"", ""[img=45]res://textures/icons/$2.png[/img]""),""--"",""—""),""-&gt;"",""•""),""~@"", CONCATENATE(""["&amp;"i]"",REGEXEXTRACT(B330,""^([\s\S]*),|$""),""[/i]"")),""~"", CONCATENATE(""[i]"",B330,""[/i]"")),""(\([\s\S]*?\))"",""[i][color=#34343A]$0[/color][/i]""), ""&lt;"", ""[""), ""&gt;"", ""]""), ""[/p][p]"", ""[font_size=15]\n\n[/font_size]""), ""[br/]"", ""\n"")"),"")</f>
        <v/>
      </c>
      <c r="W330" s="6" t="str">
        <f t="shared" si="23"/>
        <v>[i][/i]</v>
      </c>
      <c r="X330" s="1" t="str">
        <f t="shared" si="24"/>
        <v>0</v>
      </c>
      <c r="Y330" s="1"/>
    </row>
    <row r="331">
      <c r="A331" s="6"/>
      <c r="B331" s="6"/>
      <c r="S331" s="1" t="str">
        <f t="shared" si="22"/>
        <v/>
      </c>
      <c r="T331" s="6" t="str">
        <f>IFERROR(__xludf.DUMMYFUNCTION("CONCATENATE(if(REGEXMATCH(C331,""R""),"" Red"",""""),if(REGEXMATCH(C331,""O""),"" Orange"",""""),if(REGEXMATCH(C331,""Y""),"" Yellow"",""""),if(REGEXMATCH(C331,""G""),"" Green"",""""),if(REGEXMATCH(C331,""B""),"" Blue"",""""),if(REGEXMATCH(C331,""P""),"" "&amp;"Purple"",""""))"),"")</f>
        <v/>
      </c>
      <c r="U331" s="6" t="str">
        <f>IFERROR(__xludf.DUMMYFUNCTION("TRIM(CONCAT(""[right]"", REGEXREPLACE(C331, ""([ROYGBPXZC_]|1?[0-9])"", ""[img=119]res://textures/icons/$0.png[/img]\\n"")))"),"[right]")</f>
        <v>[right]</v>
      </c>
      <c r="V331" s="1" t="str">
        <f>IFERROR(__xludf.DUMMYFUNCTION("SUBSTITUTE(SUBSTITUTE(SUBSTITUTE(SUBSTITUTE(REGEXREPLACE(SUBSTITUTE(SUBSTITUTE(SUBSTITUTE(SUBSTITUTE(REGEXREPLACE(I331, ""(\[([ROYGBPTQUXZC_]|1?[0-9])\])"", ""[img=45]res://textures/icons/$2.png[/img]""),""--"",""—""),""-&gt;"",""•""),""~@"", CONCATENATE(""["&amp;"i]"",REGEXEXTRACT(B331,""^([\s\S]*),|$""),""[/i]"")),""~"", CONCATENATE(""[i]"",B331,""[/i]"")),""(\([\s\S]*?\))"",""[i][color=#34343A]$0[/color][/i]""), ""&lt;"", ""[""), ""&gt;"", ""]""), ""[/p][p]"", ""[font_size=15]\n\n[/font_size]""), ""[br/]"", ""\n"")"),"")</f>
        <v/>
      </c>
      <c r="W331" s="6" t="str">
        <f t="shared" si="23"/>
        <v>[i][/i]</v>
      </c>
      <c r="X331" s="1" t="str">
        <f t="shared" si="24"/>
        <v>0</v>
      </c>
      <c r="Y331" s="1"/>
    </row>
    <row r="332">
      <c r="A332" s="6"/>
      <c r="B332" s="6"/>
      <c r="S332" s="1" t="str">
        <f t="shared" si="22"/>
        <v/>
      </c>
      <c r="T332" s="6" t="str">
        <f>IFERROR(__xludf.DUMMYFUNCTION("CONCATENATE(if(REGEXMATCH(C332,""R""),"" Red"",""""),if(REGEXMATCH(C332,""O""),"" Orange"",""""),if(REGEXMATCH(C332,""Y""),"" Yellow"",""""),if(REGEXMATCH(C332,""G""),"" Green"",""""),if(REGEXMATCH(C332,""B""),"" Blue"",""""),if(REGEXMATCH(C332,""P""),"" "&amp;"Purple"",""""))"),"")</f>
        <v/>
      </c>
      <c r="U332" s="6" t="str">
        <f>IFERROR(__xludf.DUMMYFUNCTION("TRIM(CONCAT(""[right]"", REGEXREPLACE(C332, ""([ROYGBPXZC_]|1?[0-9])"", ""[img=119]res://textures/icons/$0.png[/img]\\n"")))"),"[right]")</f>
        <v>[right]</v>
      </c>
      <c r="V332" s="1" t="str">
        <f>IFERROR(__xludf.DUMMYFUNCTION("SUBSTITUTE(SUBSTITUTE(SUBSTITUTE(SUBSTITUTE(REGEXREPLACE(SUBSTITUTE(SUBSTITUTE(SUBSTITUTE(SUBSTITUTE(REGEXREPLACE(I332, ""(\[([ROYGBPTQUXZC_]|1?[0-9])\])"", ""[img=45]res://textures/icons/$2.png[/img]""),""--"",""—""),""-&gt;"",""•""),""~@"", CONCATENATE(""["&amp;"i]"",REGEXEXTRACT(B332,""^([\s\S]*),|$""),""[/i]"")),""~"", CONCATENATE(""[i]"",B332,""[/i]"")),""(\([\s\S]*?\))"",""[i][color=#34343A]$0[/color][/i]""), ""&lt;"", ""[""), ""&gt;"", ""]""), ""[/p][p]"", ""[font_size=15]\n\n[/font_size]""), ""[br/]"", ""\n"")"),"")</f>
        <v/>
      </c>
      <c r="W332" s="6" t="str">
        <f t="shared" si="23"/>
        <v>[i][/i]</v>
      </c>
      <c r="X332" s="1" t="str">
        <f t="shared" si="24"/>
        <v>0</v>
      </c>
      <c r="Y332" s="1"/>
    </row>
    <row r="333">
      <c r="A333" s="6"/>
      <c r="B333" s="6"/>
      <c r="S333" s="1" t="str">
        <f t="shared" si="22"/>
        <v/>
      </c>
      <c r="T333" s="6" t="str">
        <f>IFERROR(__xludf.DUMMYFUNCTION("CONCATENATE(if(REGEXMATCH(C333,""R""),"" Red"",""""),if(REGEXMATCH(C333,""O""),"" Orange"",""""),if(REGEXMATCH(C333,""Y""),"" Yellow"",""""),if(REGEXMATCH(C333,""G""),"" Green"",""""),if(REGEXMATCH(C333,""B""),"" Blue"",""""),if(REGEXMATCH(C333,""P""),"" "&amp;"Purple"",""""))"),"")</f>
        <v/>
      </c>
      <c r="U333" s="6" t="str">
        <f>IFERROR(__xludf.DUMMYFUNCTION("TRIM(CONCAT(""[right]"", REGEXREPLACE(C333, ""([ROYGBPXZC_]|1?[0-9])"", ""[img=119]res://textures/icons/$0.png[/img]\\n"")))"),"[right]")</f>
        <v>[right]</v>
      </c>
      <c r="V333" s="1" t="str">
        <f>IFERROR(__xludf.DUMMYFUNCTION("SUBSTITUTE(SUBSTITUTE(SUBSTITUTE(SUBSTITUTE(REGEXREPLACE(SUBSTITUTE(SUBSTITUTE(SUBSTITUTE(SUBSTITUTE(REGEXREPLACE(I333, ""(\[([ROYGBPTQUXZC_]|1?[0-9])\])"", ""[img=45]res://textures/icons/$2.png[/img]""),""--"",""—""),""-&gt;"",""•""),""~@"", CONCATENATE(""["&amp;"i]"",REGEXEXTRACT(B333,""^([\s\S]*),|$""),""[/i]"")),""~"", CONCATENATE(""[i]"",B333,""[/i]"")),""(\([\s\S]*?\))"",""[i][color=#34343A]$0[/color][/i]""), ""&lt;"", ""[""), ""&gt;"", ""]""), ""[/p][p]"", ""[font_size=15]\n\n[/font_size]""), ""[br/]"", ""\n"")"),"")</f>
        <v/>
      </c>
      <c r="W333" s="6" t="str">
        <f t="shared" si="23"/>
        <v>[i][/i]</v>
      </c>
      <c r="X333" s="1" t="str">
        <f t="shared" si="24"/>
        <v>0</v>
      </c>
      <c r="Y333" s="1"/>
    </row>
    <row r="334">
      <c r="A334" s="6"/>
      <c r="B334" s="6"/>
      <c r="S334" s="1" t="str">
        <f t="shared" si="22"/>
        <v/>
      </c>
      <c r="T334" s="6" t="str">
        <f>IFERROR(__xludf.DUMMYFUNCTION("CONCATENATE(if(REGEXMATCH(C334,""R""),"" Red"",""""),if(REGEXMATCH(C334,""O""),"" Orange"",""""),if(REGEXMATCH(C334,""Y""),"" Yellow"",""""),if(REGEXMATCH(C334,""G""),"" Green"",""""),if(REGEXMATCH(C334,""B""),"" Blue"",""""),if(REGEXMATCH(C334,""P""),"" "&amp;"Purple"",""""))"),"")</f>
        <v/>
      </c>
      <c r="U334" s="6" t="str">
        <f>IFERROR(__xludf.DUMMYFUNCTION("TRIM(CONCAT(""[right]"", REGEXREPLACE(C334, ""([ROYGBPXZC_]|1?[0-9])"", ""[img=119]res://textures/icons/$0.png[/img]\\n"")))"),"[right]")</f>
        <v>[right]</v>
      </c>
      <c r="V334" s="1" t="str">
        <f>IFERROR(__xludf.DUMMYFUNCTION("SUBSTITUTE(SUBSTITUTE(SUBSTITUTE(SUBSTITUTE(REGEXREPLACE(SUBSTITUTE(SUBSTITUTE(SUBSTITUTE(SUBSTITUTE(REGEXREPLACE(I334, ""(\[([ROYGBPTQUXZC_]|1?[0-9])\])"", ""[img=45]res://textures/icons/$2.png[/img]""),""--"",""—""),""-&gt;"",""•""),""~@"", CONCATENATE(""["&amp;"i]"",REGEXEXTRACT(B334,""^([\s\S]*),|$""),""[/i]"")),""~"", CONCATENATE(""[i]"",B334,""[/i]"")),""(\([\s\S]*?\))"",""[i][color=#34343A]$0[/color][/i]""), ""&lt;"", ""[""), ""&gt;"", ""]""), ""[/p][p]"", ""[font_size=15]\n\n[/font_size]""), ""[br/]"", ""\n"")"),"")</f>
        <v/>
      </c>
      <c r="W334" s="6" t="str">
        <f t="shared" si="23"/>
        <v>[i][/i]</v>
      </c>
      <c r="X334" s="1" t="str">
        <f t="shared" si="24"/>
        <v>0</v>
      </c>
      <c r="Y334" s="1"/>
    </row>
    <row r="335">
      <c r="A335" s="6"/>
      <c r="B335" s="6"/>
      <c r="S335" s="1" t="str">
        <f t="shared" si="22"/>
        <v/>
      </c>
      <c r="T335" s="6" t="str">
        <f>IFERROR(__xludf.DUMMYFUNCTION("CONCATENATE(if(REGEXMATCH(C335,""R""),"" Red"",""""),if(REGEXMATCH(C335,""O""),"" Orange"",""""),if(REGEXMATCH(C335,""Y""),"" Yellow"",""""),if(REGEXMATCH(C335,""G""),"" Green"",""""),if(REGEXMATCH(C335,""B""),"" Blue"",""""),if(REGEXMATCH(C335,""P""),"" "&amp;"Purple"",""""))"),"")</f>
        <v/>
      </c>
      <c r="U335" s="6" t="str">
        <f>IFERROR(__xludf.DUMMYFUNCTION("TRIM(CONCAT(""[right]"", REGEXREPLACE(C335, ""([ROYGBPXZC_]|1?[0-9])"", ""[img=119]res://textures/icons/$0.png[/img]\\n"")))"),"[right]")</f>
        <v>[right]</v>
      </c>
      <c r="V335" s="1" t="str">
        <f>IFERROR(__xludf.DUMMYFUNCTION("SUBSTITUTE(SUBSTITUTE(SUBSTITUTE(SUBSTITUTE(REGEXREPLACE(SUBSTITUTE(SUBSTITUTE(SUBSTITUTE(SUBSTITUTE(REGEXREPLACE(I335, ""(\[([ROYGBPTQUXZC_]|1?[0-9])\])"", ""[img=45]res://textures/icons/$2.png[/img]""),""--"",""—""),""-&gt;"",""•""),""~@"", CONCATENATE(""["&amp;"i]"",REGEXEXTRACT(B335,""^([\s\S]*),|$""),""[/i]"")),""~"", CONCATENATE(""[i]"",B335,""[/i]"")),""(\([\s\S]*?\))"",""[i][color=#34343A]$0[/color][/i]""), ""&lt;"", ""[""), ""&gt;"", ""]""), ""[/p][p]"", ""[font_size=15]\n\n[/font_size]""), ""[br/]"", ""\n"")"),"")</f>
        <v/>
      </c>
      <c r="W335" s="6" t="str">
        <f t="shared" si="23"/>
        <v>[i][/i]</v>
      </c>
      <c r="X335" s="1" t="str">
        <f t="shared" si="24"/>
        <v>0</v>
      </c>
      <c r="Y335" s="1"/>
    </row>
    <row r="336">
      <c r="A336" s="6"/>
      <c r="B336" s="6"/>
      <c r="S336" s="1" t="str">
        <f t="shared" si="22"/>
        <v/>
      </c>
      <c r="T336" s="6" t="str">
        <f>IFERROR(__xludf.DUMMYFUNCTION("CONCATENATE(if(REGEXMATCH(C336,""R""),"" Red"",""""),if(REGEXMATCH(C336,""O""),"" Orange"",""""),if(REGEXMATCH(C336,""Y""),"" Yellow"",""""),if(REGEXMATCH(C336,""G""),"" Green"",""""),if(REGEXMATCH(C336,""B""),"" Blue"",""""),if(REGEXMATCH(C336,""P""),"" "&amp;"Purple"",""""))"),"")</f>
        <v/>
      </c>
      <c r="U336" s="6" t="str">
        <f>IFERROR(__xludf.DUMMYFUNCTION("TRIM(CONCAT(""[right]"", REGEXREPLACE(C336, ""([ROYGBPXZC_]|1?[0-9])"", ""[img=119]res://textures/icons/$0.png[/img]\\n"")))"),"[right]")</f>
        <v>[right]</v>
      </c>
      <c r="V336" s="1" t="str">
        <f>IFERROR(__xludf.DUMMYFUNCTION("SUBSTITUTE(SUBSTITUTE(SUBSTITUTE(SUBSTITUTE(REGEXREPLACE(SUBSTITUTE(SUBSTITUTE(SUBSTITUTE(SUBSTITUTE(REGEXREPLACE(I336, ""(\[([ROYGBPTQUXZC_]|1?[0-9])\])"", ""[img=45]res://textures/icons/$2.png[/img]""),""--"",""—""),""-&gt;"",""•""),""~@"", CONCATENATE(""["&amp;"i]"",REGEXEXTRACT(B336,""^([\s\S]*),|$""),""[/i]"")),""~"", CONCATENATE(""[i]"",B336,""[/i]"")),""(\([\s\S]*?\))"",""[i][color=#34343A]$0[/color][/i]""), ""&lt;"", ""[""), ""&gt;"", ""]""), ""[/p][p]"", ""[font_size=15]\n\n[/font_size]""), ""[br/]"", ""\n"")"),"")</f>
        <v/>
      </c>
      <c r="W336" s="6" t="str">
        <f t="shared" si="23"/>
        <v>[i][/i]</v>
      </c>
      <c r="X336" s="1" t="str">
        <f t="shared" si="24"/>
        <v>0</v>
      </c>
      <c r="Y336" s="1"/>
    </row>
    <row r="337">
      <c r="A337" s="6"/>
      <c r="B337" s="6"/>
      <c r="S337" s="1" t="str">
        <f t="shared" si="22"/>
        <v/>
      </c>
      <c r="T337" s="6" t="str">
        <f>IFERROR(__xludf.DUMMYFUNCTION("CONCATENATE(if(REGEXMATCH(C337,""R""),"" Red"",""""),if(REGEXMATCH(C337,""O""),"" Orange"",""""),if(REGEXMATCH(C337,""Y""),"" Yellow"",""""),if(REGEXMATCH(C337,""G""),"" Green"",""""),if(REGEXMATCH(C337,""B""),"" Blue"",""""),if(REGEXMATCH(C337,""P""),"" "&amp;"Purple"",""""))"),"")</f>
        <v/>
      </c>
      <c r="U337" s="6" t="str">
        <f>IFERROR(__xludf.DUMMYFUNCTION("TRIM(CONCAT(""[right]"", REGEXREPLACE(C337, ""([ROYGBPXZC_]|1?[0-9])"", ""[img=119]res://textures/icons/$0.png[/img]\\n"")))"),"[right]")</f>
        <v>[right]</v>
      </c>
      <c r="V337" s="1" t="str">
        <f>IFERROR(__xludf.DUMMYFUNCTION("SUBSTITUTE(SUBSTITUTE(SUBSTITUTE(SUBSTITUTE(REGEXREPLACE(SUBSTITUTE(SUBSTITUTE(SUBSTITUTE(SUBSTITUTE(REGEXREPLACE(I337, ""(\[([ROYGBPTQUXZC_]|1?[0-9])\])"", ""[img=45]res://textures/icons/$2.png[/img]""),""--"",""—""),""-&gt;"",""•""),""~@"", CONCATENATE(""["&amp;"i]"",REGEXEXTRACT(B337,""^([\s\S]*),|$""),""[/i]"")),""~"", CONCATENATE(""[i]"",B337,""[/i]"")),""(\([\s\S]*?\))"",""[i][color=#34343A]$0[/color][/i]""), ""&lt;"", ""[""), ""&gt;"", ""]""), ""[/p][p]"", ""[font_size=15]\n\n[/font_size]""), ""[br/]"", ""\n"")"),"")</f>
        <v/>
      </c>
      <c r="W337" s="6" t="str">
        <f t="shared" si="23"/>
        <v>[i][/i]</v>
      </c>
      <c r="X337" s="1" t="str">
        <f t="shared" si="24"/>
        <v>0</v>
      </c>
      <c r="Y337" s="1"/>
    </row>
    <row r="338">
      <c r="A338" s="6"/>
      <c r="B338" s="6"/>
      <c r="S338" s="1" t="str">
        <f t="shared" si="22"/>
        <v/>
      </c>
      <c r="T338" s="6" t="str">
        <f>IFERROR(__xludf.DUMMYFUNCTION("CONCATENATE(if(REGEXMATCH(C338,""R""),"" Red"",""""),if(REGEXMATCH(C338,""O""),"" Orange"",""""),if(REGEXMATCH(C338,""Y""),"" Yellow"",""""),if(REGEXMATCH(C338,""G""),"" Green"",""""),if(REGEXMATCH(C338,""B""),"" Blue"",""""),if(REGEXMATCH(C338,""P""),"" "&amp;"Purple"",""""))"),"")</f>
        <v/>
      </c>
      <c r="U338" s="6" t="str">
        <f>IFERROR(__xludf.DUMMYFUNCTION("TRIM(CONCAT(""[right]"", REGEXREPLACE(C338, ""([ROYGBPXZC_]|1?[0-9])"", ""[img=119]res://textures/icons/$0.png[/img]\\n"")))"),"[right]")</f>
        <v>[right]</v>
      </c>
      <c r="V338" s="1" t="str">
        <f>IFERROR(__xludf.DUMMYFUNCTION("SUBSTITUTE(SUBSTITUTE(SUBSTITUTE(SUBSTITUTE(REGEXREPLACE(SUBSTITUTE(SUBSTITUTE(SUBSTITUTE(SUBSTITUTE(REGEXREPLACE(I338, ""(\[([ROYGBPTQUXZC_]|1?[0-9])\])"", ""[img=45]res://textures/icons/$2.png[/img]""),""--"",""—""),""-&gt;"",""•""),""~@"", CONCATENATE(""["&amp;"i]"",REGEXEXTRACT(B338,""^([\s\S]*),|$""),""[/i]"")),""~"", CONCATENATE(""[i]"",B338,""[/i]"")),""(\([\s\S]*?\))"",""[i][color=#34343A]$0[/color][/i]""), ""&lt;"", ""[""), ""&gt;"", ""]""), ""[/p][p]"", ""[font_size=15]\n\n[/font_size]""), ""[br/]"", ""\n"")"),"")</f>
        <v/>
      </c>
      <c r="W338" s="6" t="str">
        <f t="shared" si="23"/>
        <v>[i][/i]</v>
      </c>
      <c r="X338" s="1" t="str">
        <f t="shared" si="24"/>
        <v>0</v>
      </c>
      <c r="Y338" s="1"/>
    </row>
    <row r="339">
      <c r="A339" s="6"/>
      <c r="B339" s="6"/>
      <c r="S339" s="1" t="str">
        <f t="shared" si="22"/>
        <v/>
      </c>
      <c r="T339" s="6" t="str">
        <f>IFERROR(__xludf.DUMMYFUNCTION("CONCATENATE(if(REGEXMATCH(C339,""R""),"" Red"",""""),if(REGEXMATCH(C339,""O""),"" Orange"",""""),if(REGEXMATCH(C339,""Y""),"" Yellow"",""""),if(REGEXMATCH(C339,""G""),"" Green"",""""),if(REGEXMATCH(C339,""B""),"" Blue"",""""),if(REGEXMATCH(C339,""P""),"" "&amp;"Purple"",""""))"),"")</f>
        <v/>
      </c>
      <c r="U339" s="6" t="str">
        <f>IFERROR(__xludf.DUMMYFUNCTION("TRIM(CONCAT(""[right]"", REGEXREPLACE(C339, ""([ROYGBPXZC_]|1?[0-9])"", ""[img=119]res://textures/icons/$0.png[/img]\\n"")))"),"[right]")</f>
        <v>[right]</v>
      </c>
      <c r="V339" s="1" t="str">
        <f>IFERROR(__xludf.DUMMYFUNCTION("SUBSTITUTE(SUBSTITUTE(SUBSTITUTE(SUBSTITUTE(REGEXREPLACE(SUBSTITUTE(SUBSTITUTE(SUBSTITUTE(SUBSTITUTE(REGEXREPLACE(I339, ""(\[([ROYGBPTQUXZC_]|1?[0-9])\])"", ""[img=45]res://textures/icons/$2.png[/img]""),""--"",""—""),""-&gt;"",""•""),""~@"", CONCATENATE(""["&amp;"i]"",REGEXEXTRACT(B339,""^([\s\S]*),|$""),""[/i]"")),""~"", CONCATENATE(""[i]"",B339,""[/i]"")),""(\([\s\S]*?\))"",""[i][color=#34343A]$0[/color][/i]""), ""&lt;"", ""[""), ""&gt;"", ""]""), ""[/p][p]"", ""[font_size=15]\n\n[/font_size]""), ""[br/]"", ""\n"")"),"")</f>
        <v/>
      </c>
      <c r="W339" s="6" t="str">
        <f t="shared" si="23"/>
        <v>[i][/i]</v>
      </c>
      <c r="X339" s="1" t="str">
        <f t="shared" si="24"/>
        <v>0</v>
      </c>
      <c r="Y339" s="1"/>
    </row>
    <row r="340">
      <c r="A340" s="6"/>
      <c r="B340" s="6"/>
      <c r="S340" s="1" t="str">
        <f t="shared" si="22"/>
        <v/>
      </c>
      <c r="T340" s="6" t="str">
        <f>IFERROR(__xludf.DUMMYFUNCTION("CONCATENATE(if(REGEXMATCH(C340,""R""),"" Red"",""""),if(REGEXMATCH(C340,""O""),"" Orange"",""""),if(REGEXMATCH(C340,""Y""),"" Yellow"",""""),if(REGEXMATCH(C340,""G""),"" Green"",""""),if(REGEXMATCH(C340,""B""),"" Blue"",""""),if(REGEXMATCH(C340,""P""),"" "&amp;"Purple"",""""))"),"")</f>
        <v/>
      </c>
      <c r="U340" s="6" t="str">
        <f>IFERROR(__xludf.DUMMYFUNCTION("TRIM(CONCAT(""[right]"", REGEXREPLACE(C340, ""([ROYGBPXZC_]|1?[0-9])"", ""[img=119]res://textures/icons/$0.png[/img]\\n"")))"),"[right]")</f>
        <v>[right]</v>
      </c>
      <c r="V340" s="1" t="str">
        <f>IFERROR(__xludf.DUMMYFUNCTION("SUBSTITUTE(SUBSTITUTE(SUBSTITUTE(SUBSTITUTE(REGEXREPLACE(SUBSTITUTE(SUBSTITUTE(SUBSTITUTE(SUBSTITUTE(REGEXREPLACE(I340, ""(\[([ROYGBPTQUXZC_]|1?[0-9])\])"", ""[img=45]res://textures/icons/$2.png[/img]""),""--"",""—""),""-&gt;"",""•""),""~@"", CONCATENATE(""["&amp;"i]"",REGEXEXTRACT(B340,""^([\s\S]*),|$""),""[/i]"")),""~"", CONCATENATE(""[i]"",B340,""[/i]"")),""(\([\s\S]*?\))"",""[i][color=#34343A]$0[/color][/i]""), ""&lt;"", ""[""), ""&gt;"", ""]""), ""[/p][p]"", ""[font_size=15]\n\n[/font_size]""), ""[br/]"", ""\n"")"),"")</f>
        <v/>
      </c>
      <c r="W340" s="6" t="str">
        <f t="shared" si="23"/>
        <v>[i][/i]</v>
      </c>
      <c r="X340" s="1" t="str">
        <f t="shared" si="24"/>
        <v>0</v>
      </c>
      <c r="Y340" s="1"/>
    </row>
    <row r="341">
      <c r="A341" s="6"/>
      <c r="B341" s="6"/>
      <c r="S341" s="1" t="str">
        <f t="shared" si="22"/>
        <v/>
      </c>
      <c r="T341" s="6" t="str">
        <f>IFERROR(__xludf.DUMMYFUNCTION("CONCATENATE(if(REGEXMATCH(C341,""R""),"" Red"",""""),if(REGEXMATCH(C341,""O""),"" Orange"",""""),if(REGEXMATCH(C341,""Y""),"" Yellow"",""""),if(REGEXMATCH(C341,""G""),"" Green"",""""),if(REGEXMATCH(C341,""B""),"" Blue"",""""),if(REGEXMATCH(C341,""P""),"" "&amp;"Purple"",""""))"),"")</f>
        <v/>
      </c>
      <c r="U341" s="6" t="str">
        <f>IFERROR(__xludf.DUMMYFUNCTION("TRIM(CONCAT(""[right]"", REGEXREPLACE(C341, ""([ROYGBPXZC_]|1?[0-9])"", ""[img=119]res://textures/icons/$0.png[/img]\\n"")))"),"[right]")</f>
        <v>[right]</v>
      </c>
      <c r="V341" s="1" t="str">
        <f>IFERROR(__xludf.DUMMYFUNCTION("SUBSTITUTE(SUBSTITUTE(SUBSTITUTE(SUBSTITUTE(REGEXREPLACE(SUBSTITUTE(SUBSTITUTE(SUBSTITUTE(SUBSTITUTE(REGEXREPLACE(I341, ""(\[([ROYGBPTQUXZC_]|1?[0-9])\])"", ""[img=45]res://textures/icons/$2.png[/img]""),""--"",""—""),""-&gt;"",""•""),""~@"", CONCATENATE(""["&amp;"i]"",REGEXEXTRACT(B341,""^([\s\S]*),|$""),""[/i]"")),""~"", CONCATENATE(""[i]"",B341,""[/i]"")),""(\([\s\S]*?\))"",""[i][color=#34343A]$0[/color][/i]""), ""&lt;"", ""[""), ""&gt;"", ""]""), ""[/p][p]"", ""[font_size=15]\n\n[/font_size]""), ""[br/]"", ""\n"")"),"")</f>
        <v/>
      </c>
      <c r="W341" s="6" t="str">
        <f t="shared" si="23"/>
        <v>[i][/i]</v>
      </c>
      <c r="X341" s="1" t="str">
        <f t="shared" si="24"/>
        <v>0</v>
      </c>
      <c r="Y341" s="1"/>
    </row>
    <row r="342">
      <c r="A342" s="6"/>
      <c r="B342" s="6"/>
      <c r="S342" s="1" t="str">
        <f t="shared" si="22"/>
        <v/>
      </c>
      <c r="T342" s="6" t="str">
        <f>IFERROR(__xludf.DUMMYFUNCTION("CONCATENATE(if(REGEXMATCH(C342,""R""),"" Red"",""""),if(REGEXMATCH(C342,""O""),"" Orange"",""""),if(REGEXMATCH(C342,""Y""),"" Yellow"",""""),if(REGEXMATCH(C342,""G""),"" Green"",""""),if(REGEXMATCH(C342,""B""),"" Blue"",""""),if(REGEXMATCH(C342,""P""),"" "&amp;"Purple"",""""))"),"")</f>
        <v/>
      </c>
      <c r="U342" s="6" t="str">
        <f>IFERROR(__xludf.DUMMYFUNCTION("TRIM(CONCAT(""[right]"", REGEXREPLACE(C342, ""([ROYGBPXZC_]|1?[0-9])"", ""[img=119]res://textures/icons/$0.png[/img]\\n"")))"),"[right]")</f>
        <v>[right]</v>
      </c>
      <c r="V342" s="1" t="str">
        <f>IFERROR(__xludf.DUMMYFUNCTION("SUBSTITUTE(SUBSTITUTE(SUBSTITUTE(SUBSTITUTE(REGEXREPLACE(SUBSTITUTE(SUBSTITUTE(SUBSTITUTE(SUBSTITUTE(REGEXREPLACE(I342, ""(\[([ROYGBPTQUXZC_]|1?[0-9])\])"", ""[img=45]res://textures/icons/$2.png[/img]""),""--"",""—""),""-&gt;"",""•""),""~@"", CONCATENATE(""["&amp;"i]"",REGEXEXTRACT(B342,""^([\s\S]*),|$""),""[/i]"")),""~"", CONCATENATE(""[i]"",B342,""[/i]"")),""(\([\s\S]*?\))"",""[i][color=#34343A]$0[/color][/i]""), ""&lt;"", ""[""), ""&gt;"", ""]""), ""[/p][p]"", ""[font_size=15]\n\n[/font_size]""), ""[br/]"", ""\n"")"),"")</f>
        <v/>
      </c>
      <c r="W342" s="6" t="str">
        <f t="shared" si="23"/>
        <v>[i][/i]</v>
      </c>
      <c r="X342" s="1" t="str">
        <f t="shared" si="24"/>
        <v>0</v>
      </c>
      <c r="Y342" s="1"/>
    </row>
    <row r="343">
      <c r="A343" s="6"/>
      <c r="B343" s="6"/>
      <c r="S343" s="1" t="str">
        <f t="shared" si="22"/>
        <v/>
      </c>
      <c r="T343" s="6" t="str">
        <f>IFERROR(__xludf.DUMMYFUNCTION("CONCATENATE(if(REGEXMATCH(C343,""R""),"" Red"",""""),if(REGEXMATCH(C343,""O""),"" Orange"",""""),if(REGEXMATCH(C343,""Y""),"" Yellow"",""""),if(REGEXMATCH(C343,""G""),"" Green"",""""),if(REGEXMATCH(C343,""B""),"" Blue"",""""),if(REGEXMATCH(C343,""P""),"" "&amp;"Purple"",""""))"),"")</f>
        <v/>
      </c>
      <c r="U343" s="6" t="str">
        <f>IFERROR(__xludf.DUMMYFUNCTION("TRIM(CONCAT(""[right]"", REGEXREPLACE(C343, ""([ROYGBPXZC_]|1?[0-9])"", ""[img=119]res://textures/icons/$0.png[/img]\\n"")))"),"[right]")</f>
        <v>[right]</v>
      </c>
      <c r="V343" s="1" t="str">
        <f>IFERROR(__xludf.DUMMYFUNCTION("SUBSTITUTE(SUBSTITUTE(SUBSTITUTE(SUBSTITUTE(REGEXREPLACE(SUBSTITUTE(SUBSTITUTE(SUBSTITUTE(SUBSTITUTE(REGEXREPLACE(I343, ""(\[([ROYGBPTQUXZC_]|1?[0-9])\])"", ""[img=45]res://textures/icons/$2.png[/img]""),""--"",""—""),""-&gt;"",""•""),""~@"", CONCATENATE(""["&amp;"i]"",REGEXEXTRACT(B343,""^([\s\S]*),|$""),""[/i]"")),""~"", CONCATENATE(""[i]"",B343,""[/i]"")),""(\([\s\S]*?\))"",""[i][color=#34343A]$0[/color][/i]""), ""&lt;"", ""[""), ""&gt;"", ""]""), ""[/p][p]"", ""[font_size=15]\n\n[/font_size]""), ""[br/]"", ""\n"")"),"")</f>
        <v/>
      </c>
      <c r="W343" s="6" t="str">
        <f t="shared" si="23"/>
        <v>[i][/i]</v>
      </c>
      <c r="X343" s="1" t="str">
        <f t="shared" si="24"/>
        <v>0</v>
      </c>
      <c r="Y343" s="1"/>
    </row>
    <row r="344">
      <c r="A344" s="6"/>
      <c r="B344" s="6"/>
      <c r="S344" s="1" t="str">
        <f t="shared" si="22"/>
        <v/>
      </c>
      <c r="T344" s="6" t="str">
        <f>IFERROR(__xludf.DUMMYFUNCTION("CONCATENATE(if(REGEXMATCH(C344,""R""),"" Red"",""""),if(REGEXMATCH(C344,""O""),"" Orange"",""""),if(REGEXMATCH(C344,""Y""),"" Yellow"",""""),if(REGEXMATCH(C344,""G""),"" Green"",""""),if(REGEXMATCH(C344,""B""),"" Blue"",""""),if(REGEXMATCH(C344,""P""),"" "&amp;"Purple"",""""))"),"")</f>
        <v/>
      </c>
      <c r="U344" s="6" t="str">
        <f>IFERROR(__xludf.DUMMYFUNCTION("TRIM(CONCAT(""[right]"", REGEXREPLACE(C344, ""([ROYGBPXZC_]|1?[0-9])"", ""[img=119]res://textures/icons/$0.png[/img]\\n"")))"),"[right]")</f>
        <v>[right]</v>
      </c>
      <c r="V344" s="1" t="str">
        <f>IFERROR(__xludf.DUMMYFUNCTION("SUBSTITUTE(SUBSTITUTE(SUBSTITUTE(SUBSTITUTE(REGEXREPLACE(SUBSTITUTE(SUBSTITUTE(SUBSTITUTE(SUBSTITUTE(REGEXREPLACE(I344, ""(\[([ROYGBPTQUXZC_]|1?[0-9])\])"", ""[img=45]res://textures/icons/$2.png[/img]""),""--"",""—""),""-&gt;"",""•""),""~@"", CONCATENATE(""["&amp;"i]"",REGEXEXTRACT(B344,""^([\s\S]*),|$""),""[/i]"")),""~"", CONCATENATE(""[i]"",B344,""[/i]"")),""(\([\s\S]*?\))"",""[i][color=#34343A]$0[/color][/i]""), ""&lt;"", ""[""), ""&gt;"", ""]""), ""[/p][p]"", ""[font_size=15]\n\n[/font_size]""), ""[br/]"", ""\n"")"),"")</f>
        <v/>
      </c>
      <c r="W344" s="6" t="str">
        <f t="shared" si="23"/>
        <v>[i][/i]</v>
      </c>
      <c r="X344" s="1" t="str">
        <f t="shared" si="24"/>
        <v>0</v>
      </c>
      <c r="Y344" s="1"/>
    </row>
    <row r="345">
      <c r="A345" s="6"/>
      <c r="B345" s="6"/>
      <c r="S345" s="1" t="str">
        <f t="shared" si="22"/>
        <v/>
      </c>
      <c r="T345" s="6" t="str">
        <f>IFERROR(__xludf.DUMMYFUNCTION("CONCATENATE(if(REGEXMATCH(C345,""R""),"" Red"",""""),if(REGEXMATCH(C345,""O""),"" Orange"",""""),if(REGEXMATCH(C345,""Y""),"" Yellow"",""""),if(REGEXMATCH(C345,""G""),"" Green"",""""),if(REGEXMATCH(C345,""B""),"" Blue"",""""),if(REGEXMATCH(C345,""P""),"" "&amp;"Purple"",""""))"),"")</f>
        <v/>
      </c>
      <c r="U345" s="6" t="str">
        <f>IFERROR(__xludf.DUMMYFUNCTION("TRIM(CONCAT(""[right]"", REGEXREPLACE(C345, ""([ROYGBPXZC_]|1?[0-9])"", ""[img=119]res://textures/icons/$0.png[/img]\\n"")))"),"[right]")</f>
        <v>[right]</v>
      </c>
      <c r="V345" s="1" t="str">
        <f>IFERROR(__xludf.DUMMYFUNCTION("SUBSTITUTE(SUBSTITUTE(SUBSTITUTE(SUBSTITUTE(REGEXREPLACE(SUBSTITUTE(SUBSTITUTE(SUBSTITUTE(SUBSTITUTE(REGEXREPLACE(I345, ""(\[([ROYGBPTQUXZC_]|1?[0-9])\])"", ""[img=45]res://textures/icons/$2.png[/img]""),""--"",""—""),""-&gt;"",""•""),""~@"", CONCATENATE(""["&amp;"i]"",REGEXEXTRACT(B345,""^([\s\S]*),|$""),""[/i]"")),""~"", CONCATENATE(""[i]"",B345,""[/i]"")),""(\([\s\S]*?\))"",""[i][color=#34343A]$0[/color][/i]""), ""&lt;"", ""[""), ""&gt;"", ""]""), ""[/p][p]"", ""[font_size=15]\n\n[/font_size]""), ""[br/]"", ""\n"")"),"")</f>
        <v/>
      </c>
      <c r="W345" s="6" t="str">
        <f t="shared" si="23"/>
        <v>[i][/i]</v>
      </c>
      <c r="X345" s="1" t="str">
        <f t="shared" si="24"/>
        <v>0</v>
      </c>
      <c r="Y345" s="1"/>
    </row>
    <row r="346">
      <c r="A346" s="6"/>
      <c r="B346" s="6"/>
      <c r="S346" s="1" t="str">
        <f t="shared" si="22"/>
        <v/>
      </c>
      <c r="T346" s="6" t="str">
        <f>IFERROR(__xludf.DUMMYFUNCTION("CONCATENATE(if(REGEXMATCH(C346,""R""),"" Red"",""""),if(REGEXMATCH(C346,""O""),"" Orange"",""""),if(REGEXMATCH(C346,""Y""),"" Yellow"",""""),if(REGEXMATCH(C346,""G""),"" Green"",""""),if(REGEXMATCH(C346,""B""),"" Blue"",""""),if(REGEXMATCH(C346,""P""),"" "&amp;"Purple"",""""))"),"")</f>
        <v/>
      </c>
      <c r="U346" s="6" t="str">
        <f>IFERROR(__xludf.DUMMYFUNCTION("TRIM(CONCAT(""[right]"", REGEXREPLACE(C346, ""([ROYGBPXZC_]|1?[0-9])"", ""[img=119]res://textures/icons/$0.png[/img]\\n"")))"),"[right]")</f>
        <v>[right]</v>
      </c>
      <c r="V346" s="1" t="str">
        <f>IFERROR(__xludf.DUMMYFUNCTION("SUBSTITUTE(SUBSTITUTE(SUBSTITUTE(SUBSTITUTE(REGEXREPLACE(SUBSTITUTE(SUBSTITUTE(SUBSTITUTE(SUBSTITUTE(REGEXREPLACE(I346, ""(\[([ROYGBPTQUXZC_]|1?[0-9])\])"", ""[img=45]res://textures/icons/$2.png[/img]""),""--"",""—""),""-&gt;"",""•""),""~@"", CONCATENATE(""["&amp;"i]"",REGEXEXTRACT(B346,""^([\s\S]*),|$""),""[/i]"")),""~"", CONCATENATE(""[i]"",B346,""[/i]"")),""(\([\s\S]*?\))"",""[i][color=#34343A]$0[/color][/i]""), ""&lt;"", ""[""), ""&gt;"", ""]""), ""[/p][p]"", ""[font_size=15]\n\n[/font_size]""), ""[br/]"", ""\n"")"),"")</f>
        <v/>
      </c>
      <c r="W346" s="6" t="str">
        <f t="shared" si="23"/>
        <v>[i][/i]</v>
      </c>
      <c r="X346" s="1" t="str">
        <f t="shared" si="24"/>
        <v>0</v>
      </c>
      <c r="Y346" s="1"/>
    </row>
    <row r="347">
      <c r="A347" s="6"/>
      <c r="B347" s="6"/>
      <c r="S347" s="1" t="str">
        <f t="shared" si="22"/>
        <v/>
      </c>
      <c r="T347" s="6" t="str">
        <f>IFERROR(__xludf.DUMMYFUNCTION("CONCATENATE(if(REGEXMATCH(C347,""R""),"" Red"",""""),if(REGEXMATCH(C347,""O""),"" Orange"",""""),if(REGEXMATCH(C347,""Y""),"" Yellow"",""""),if(REGEXMATCH(C347,""G""),"" Green"",""""),if(REGEXMATCH(C347,""B""),"" Blue"",""""),if(REGEXMATCH(C347,""P""),"" "&amp;"Purple"",""""))"),"")</f>
        <v/>
      </c>
      <c r="U347" s="6" t="str">
        <f>IFERROR(__xludf.DUMMYFUNCTION("TRIM(CONCAT(""[right]"", REGEXREPLACE(C347, ""([ROYGBPXZC_]|1?[0-9])"", ""[img=119]res://textures/icons/$0.png[/img]\\n"")))"),"[right]")</f>
        <v>[right]</v>
      </c>
      <c r="V347" s="1" t="str">
        <f>IFERROR(__xludf.DUMMYFUNCTION("SUBSTITUTE(SUBSTITUTE(SUBSTITUTE(SUBSTITUTE(REGEXREPLACE(SUBSTITUTE(SUBSTITUTE(SUBSTITUTE(SUBSTITUTE(REGEXREPLACE(I347, ""(\[([ROYGBPTQUXZC_]|1?[0-9])\])"", ""[img=45]res://textures/icons/$2.png[/img]""),""--"",""—""),""-&gt;"",""•""),""~@"", CONCATENATE(""["&amp;"i]"",REGEXEXTRACT(B347,""^([\s\S]*),|$""),""[/i]"")),""~"", CONCATENATE(""[i]"",B347,""[/i]"")),""(\([\s\S]*?\))"",""[i][color=#34343A]$0[/color][/i]""), ""&lt;"", ""[""), ""&gt;"", ""]""), ""[/p][p]"", ""[font_size=15]\n\n[/font_size]""), ""[br/]"", ""\n"")"),"")</f>
        <v/>
      </c>
      <c r="W347" s="6" t="str">
        <f t="shared" si="23"/>
        <v>[i][/i]</v>
      </c>
      <c r="X347" s="1" t="str">
        <f t="shared" si="24"/>
        <v>0</v>
      </c>
      <c r="Y347" s="1"/>
    </row>
    <row r="348">
      <c r="A348" s="6"/>
      <c r="B348" s="6"/>
      <c r="S348" s="1" t="str">
        <f t="shared" si="22"/>
        <v/>
      </c>
      <c r="T348" s="6" t="str">
        <f>IFERROR(__xludf.DUMMYFUNCTION("CONCATENATE(if(REGEXMATCH(C348,""R""),"" Red"",""""),if(REGEXMATCH(C348,""O""),"" Orange"",""""),if(REGEXMATCH(C348,""Y""),"" Yellow"",""""),if(REGEXMATCH(C348,""G""),"" Green"",""""),if(REGEXMATCH(C348,""B""),"" Blue"",""""),if(REGEXMATCH(C348,""P""),"" "&amp;"Purple"",""""))"),"")</f>
        <v/>
      </c>
      <c r="U348" s="6" t="str">
        <f>IFERROR(__xludf.DUMMYFUNCTION("TRIM(CONCAT(""[right]"", REGEXREPLACE(C348, ""([ROYGBPXZC_]|1?[0-9])"", ""[img=119]res://textures/icons/$0.png[/img]\\n"")))"),"[right]")</f>
        <v>[right]</v>
      </c>
      <c r="V348" s="1" t="str">
        <f>IFERROR(__xludf.DUMMYFUNCTION("SUBSTITUTE(SUBSTITUTE(SUBSTITUTE(SUBSTITUTE(REGEXREPLACE(SUBSTITUTE(SUBSTITUTE(SUBSTITUTE(SUBSTITUTE(REGEXREPLACE(I348, ""(\[([ROYGBPTQUXZC_]|1?[0-9])\])"", ""[img=45]res://textures/icons/$2.png[/img]""),""--"",""—""),""-&gt;"",""•""),""~@"", CONCATENATE(""["&amp;"i]"",REGEXEXTRACT(B348,""^([\s\S]*),|$""),""[/i]"")),""~"", CONCATENATE(""[i]"",B348,""[/i]"")),""(\([\s\S]*?\))"",""[i][color=#34343A]$0[/color][/i]""), ""&lt;"", ""[""), ""&gt;"", ""]""), ""[/p][p]"", ""[font_size=15]\n\n[/font_size]""), ""[br/]"", ""\n"")"),"")</f>
        <v/>
      </c>
      <c r="W348" s="6" t="str">
        <f t="shared" si="23"/>
        <v>[i][/i]</v>
      </c>
      <c r="X348" s="1" t="str">
        <f t="shared" si="24"/>
        <v>0</v>
      </c>
      <c r="Y348" s="1"/>
    </row>
    <row r="349">
      <c r="A349" s="6"/>
      <c r="B349" s="6"/>
      <c r="S349" s="1" t="str">
        <f t="shared" si="22"/>
        <v/>
      </c>
      <c r="T349" s="6" t="str">
        <f>IFERROR(__xludf.DUMMYFUNCTION("CONCATENATE(if(REGEXMATCH(C349,""R""),"" Red"",""""),if(REGEXMATCH(C349,""O""),"" Orange"",""""),if(REGEXMATCH(C349,""Y""),"" Yellow"",""""),if(REGEXMATCH(C349,""G""),"" Green"",""""),if(REGEXMATCH(C349,""B""),"" Blue"",""""),if(REGEXMATCH(C349,""P""),"" "&amp;"Purple"",""""))"),"")</f>
        <v/>
      </c>
      <c r="U349" s="6" t="str">
        <f>IFERROR(__xludf.DUMMYFUNCTION("TRIM(CONCAT(""[right]"", REGEXREPLACE(C349, ""([ROYGBPXZC_]|1?[0-9])"", ""[img=119]res://textures/icons/$0.png[/img]\\n"")))"),"[right]")</f>
        <v>[right]</v>
      </c>
      <c r="V349" s="1" t="str">
        <f>IFERROR(__xludf.DUMMYFUNCTION("SUBSTITUTE(SUBSTITUTE(SUBSTITUTE(SUBSTITUTE(REGEXREPLACE(SUBSTITUTE(SUBSTITUTE(SUBSTITUTE(SUBSTITUTE(REGEXREPLACE(I349, ""(\[([ROYGBPTQUXZC_]|1?[0-9])\])"", ""[img=45]res://textures/icons/$2.png[/img]""),""--"",""—""),""-&gt;"",""•""),""~@"", CONCATENATE(""["&amp;"i]"",REGEXEXTRACT(B349,""^([\s\S]*),|$""),""[/i]"")),""~"", CONCATENATE(""[i]"",B349,""[/i]"")),""(\([\s\S]*?\))"",""[i][color=#34343A]$0[/color][/i]""), ""&lt;"", ""[""), ""&gt;"", ""]""), ""[/p][p]"", ""[font_size=15]\n\n[/font_size]""), ""[br/]"", ""\n"")"),"")</f>
        <v/>
      </c>
      <c r="W349" s="6" t="str">
        <f t="shared" si="23"/>
        <v>[i][/i]</v>
      </c>
      <c r="X349" s="1" t="str">
        <f t="shared" si="24"/>
        <v>0</v>
      </c>
      <c r="Y349" s="1"/>
    </row>
    <row r="350">
      <c r="A350" s="6"/>
      <c r="B350" s="6"/>
      <c r="S350" s="1" t="str">
        <f t="shared" si="22"/>
        <v/>
      </c>
      <c r="T350" s="6" t="str">
        <f>IFERROR(__xludf.DUMMYFUNCTION("CONCATENATE(if(REGEXMATCH(C350,""R""),"" Red"",""""),if(REGEXMATCH(C350,""O""),"" Orange"",""""),if(REGEXMATCH(C350,""Y""),"" Yellow"",""""),if(REGEXMATCH(C350,""G""),"" Green"",""""),if(REGEXMATCH(C350,""B""),"" Blue"",""""),if(REGEXMATCH(C350,""P""),"" "&amp;"Purple"",""""))"),"")</f>
        <v/>
      </c>
      <c r="U350" s="6" t="str">
        <f>IFERROR(__xludf.DUMMYFUNCTION("TRIM(CONCAT(""[right]"", REGEXREPLACE(C350, ""([ROYGBPXZC_]|1?[0-9])"", ""[img=119]res://textures/icons/$0.png[/img]\\n"")))"),"[right]")</f>
        <v>[right]</v>
      </c>
      <c r="V350" s="1" t="str">
        <f>IFERROR(__xludf.DUMMYFUNCTION("SUBSTITUTE(SUBSTITUTE(SUBSTITUTE(SUBSTITUTE(REGEXREPLACE(SUBSTITUTE(SUBSTITUTE(SUBSTITUTE(SUBSTITUTE(REGEXREPLACE(I350, ""(\[([ROYGBPTQUXZC_]|1?[0-9])\])"", ""[img=45]res://textures/icons/$2.png[/img]""),""--"",""—""),""-&gt;"",""•""),""~@"", CONCATENATE(""["&amp;"i]"",REGEXEXTRACT(B350,""^([\s\S]*),|$""),""[/i]"")),""~"", CONCATENATE(""[i]"",B350,""[/i]"")),""(\([\s\S]*?\))"",""[i][color=#34343A]$0[/color][/i]""), ""&lt;"", ""[""), ""&gt;"", ""]""), ""[/p][p]"", ""[font_size=15]\n\n[/font_size]""), ""[br/]"", ""\n"")"),"")</f>
        <v/>
      </c>
      <c r="W350" s="6" t="str">
        <f t="shared" si="23"/>
        <v>[i][/i]</v>
      </c>
      <c r="X350" s="1" t="str">
        <f t="shared" si="24"/>
        <v>0</v>
      </c>
      <c r="Y350" s="1"/>
    </row>
    <row r="351">
      <c r="A351" s="6"/>
      <c r="B351" s="6"/>
      <c r="S351" s="1" t="str">
        <f t="shared" si="22"/>
        <v/>
      </c>
      <c r="T351" s="6" t="str">
        <f>IFERROR(__xludf.DUMMYFUNCTION("CONCATENATE(if(REGEXMATCH(C351,""R""),"" Red"",""""),if(REGEXMATCH(C351,""O""),"" Orange"",""""),if(REGEXMATCH(C351,""Y""),"" Yellow"",""""),if(REGEXMATCH(C351,""G""),"" Green"",""""),if(REGEXMATCH(C351,""B""),"" Blue"",""""),if(REGEXMATCH(C351,""P""),"" "&amp;"Purple"",""""))"),"")</f>
        <v/>
      </c>
      <c r="U351" s="6" t="str">
        <f>IFERROR(__xludf.DUMMYFUNCTION("TRIM(CONCAT(""[right]"", REGEXREPLACE(C351, ""([ROYGBPXZC_]|1?[0-9])"", ""[img=119]res://textures/icons/$0.png[/img]\\n"")))"),"[right]")</f>
        <v>[right]</v>
      </c>
      <c r="V351" s="1" t="str">
        <f>IFERROR(__xludf.DUMMYFUNCTION("SUBSTITUTE(SUBSTITUTE(SUBSTITUTE(SUBSTITUTE(REGEXREPLACE(SUBSTITUTE(SUBSTITUTE(SUBSTITUTE(SUBSTITUTE(REGEXREPLACE(I351, ""(\[([ROYGBPTQUXZC_]|1?[0-9])\])"", ""[img=45]res://textures/icons/$2.png[/img]""),""--"",""—""),""-&gt;"",""•""),""~@"", CONCATENATE(""["&amp;"i]"",REGEXEXTRACT(B351,""^([\s\S]*),|$""),""[/i]"")),""~"", CONCATENATE(""[i]"",B351,""[/i]"")),""(\([\s\S]*?\))"",""[i][color=#34343A]$0[/color][/i]""), ""&lt;"", ""[""), ""&gt;"", ""]""), ""[/p][p]"", ""[font_size=15]\n\n[/font_size]""), ""[br/]"", ""\n"")"),"")</f>
        <v/>
      </c>
      <c r="W351" s="6" t="str">
        <f t="shared" si="23"/>
        <v>[i][/i]</v>
      </c>
      <c r="X351" s="1" t="str">
        <f t="shared" si="24"/>
        <v>0</v>
      </c>
      <c r="Y351" s="1"/>
    </row>
    <row r="352">
      <c r="A352" s="6"/>
      <c r="B352" s="6"/>
      <c r="S352" s="1" t="str">
        <f t="shared" si="22"/>
        <v/>
      </c>
      <c r="T352" s="6" t="str">
        <f>IFERROR(__xludf.DUMMYFUNCTION("CONCATENATE(if(REGEXMATCH(C352,""R""),"" Red"",""""),if(REGEXMATCH(C352,""O""),"" Orange"",""""),if(REGEXMATCH(C352,""Y""),"" Yellow"",""""),if(REGEXMATCH(C352,""G""),"" Green"",""""),if(REGEXMATCH(C352,""B""),"" Blue"",""""),if(REGEXMATCH(C352,""P""),"" "&amp;"Purple"",""""))"),"")</f>
        <v/>
      </c>
      <c r="U352" s="6" t="str">
        <f>IFERROR(__xludf.DUMMYFUNCTION("TRIM(CONCAT(""[right]"", REGEXREPLACE(C352, ""([ROYGBPXZC_]|1?[0-9])"", ""[img=119]res://textures/icons/$0.png[/img]\\n"")))"),"[right]")</f>
        <v>[right]</v>
      </c>
      <c r="V352" s="1" t="str">
        <f>IFERROR(__xludf.DUMMYFUNCTION("SUBSTITUTE(SUBSTITUTE(SUBSTITUTE(SUBSTITUTE(REGEXREPLACE(SUBSTITUTE(SUBSTITUTE(SUBSTITUTE(SUBSTITUTE(REGEXREPLACE(I352, ""(\[([ROYGBPTQUXZC_]|1?[0-9])\])"", ""[img=45]res://textures/icons/$2.png[/img]""),""--"",""—""),""-&gt;"",""•""),""~@"", CONCATENATE(""["&amp;"i]"",REGEXEXTRACT(B352,""^([\s\S]*),|$""),""[/i]"")),""~"", CONCATENATE(""[i]"",B352,""[/i]"")),""(\([\s\S]*?\))"",""[i][color=#34343A]$0[/color][/i]""), ""&lt;"", ""[""), ""&gt;"", ""]""), ""[/p][p]"", ""[font_size=15]\n\n[/font_size]""), ""[br/]"", ""\n"")"),"")</f>
        <v/>
      </c>
      <c r="W352" s="6" t="str">
        <f t="shared" si="23"/>
        <v>[i][/i]</v>
      </c>
      <c r="X352" s="1" t="str">
        <f t="shared" si="24"/>
        <v>0</v>
      </c>
      <c r="Y352" s="1"/>
    </row>
    <row r="353">
      <c r="A353" s="6"/>
      <c r="B353" s="6"/>
      <c r="S353" s="1" t="str">
        <f t="shared" si="22"/>
        <v/>
      </c>
      <c r="T353" s="6" t="str">
        <f>IFERROR(__xludf.DUMMYFUNCTION("CONCATENATE(if(REGEXMATCH(C353,""R""),"" Red"",""""),if(REGEXMATCH(C353,""O""),"" Orange"",""""),if(REGEXMATCH(C353,""Y""),"" Yellow"",""""),if(REGEXMATCH(C353,""G""),"" Green"",""""),if(REGEXMATCH(C353,""B""),"" Blue"",""""),if(REGEXMATCH(C353,""P""),"" "&amp;"Purple"",""""))"),"")</f>
        <v/>
      </c>
      <c r="U353" s="6" t="str">
        <f>IFERROR(__xludf.DUMMYFUNCTION("TRIM(CONCAT(""[right]"", REGEXREPLACE(C353, ""([ROYGBPXZC_]|1?[0-9])"", ""[img=119]res://textures/icons/$0.png[/img]\\n"")))"),"[right]")</f>
        <v>[right]</v>
      </c>
      <c r="V353" s="1" t="str">
        <f>IFERROR(__xludf.DUMMYFUNCTION("SUBSTITUTE(SUBSTITUTE(SUBSTITUTE(SUBSTITUTE(REGEXREPLACE(SUBSTITUTE(SUBSTITUTE(SUBSTITUTE(SUBSTITUTE(REGEXREPLACE(I353, ""(\[([ROYGBPTQUXZC_]|1?[0-9])\])"", ""[img=45]res://textures/icons/$2.png[/img]""),""--"",""—""),""-&gt;"",""•""),""~@"", CONCATENATE(""["&amp;"i]"",REGEXEXTRACT(B353,""^([\s\S]*),|$""),""[/i]"")),""~"", CONCATENATE(""[i]"",B353,""[/i]"")),""(\([\s\S]*?\))"",""[i][color=#34343A]$0[/color][/i]""), ""&lt;"", ""[""), ""&gt;"", ""]""), ""[/p][p]"", ""[font_size=15]\n\n[/font_size]""), ""[br/]"", ""\n"")"),"")</f>
        <v/>
      </c>
      <c r="W353" s="6" t="str">
        <f t="shared" si="23"/>
        <v>[i][/i]</v>
      </c>
      <c r="X353" s="1" t="str">
        <f t="shared" si="24"/>
        <v>0</v>
      </c>
      <c r="Y353" s="1"/>
    </row>
    <row r="354">
      <c r="A354" s="6"/>
      <c r="B354" s="6"/>
      <c r="S354" s="1" t="str">
        <f t="shared" si="22"/>
        <v/>
      </c>
      <c r="T354" s="6" t="str">
        <f>IFERROR(__xludf.DUMMYFUNCTION("CONCATENATE(if(REGEXMATCH(C354,""R""),"" Red"",""""),if(REGEXMATCH(C354,""O""),"" Orange"",""""),if(REGEXMATCH(C354,""Y""),"" Yellow"",""""),if(REGEXMATCH(C354,""G""),"" Green"",""""),if(REGEXMATCH(C354,""B""),"" Blue"",""""),if(REGEXMATCH(C354,""P""),"" "&amp;"Purple"",""""))"),"")</f>
        <v/>
      </c>
      <c r="U354" s="6" t="str">
        <f>IFERROR(__xludf.DUMMYFUNCTION("TRIM(CONCAT(""[right]"", REGEXREPLACE(C354, ""([ROYGBPXZC_]|1?[0-9])"", ""[img=119]res://textures/icons/$0.png[/img]\\n"")))"),"[right]")</f>
        <v>[right]</v>
      </c>
      <c r="V354" s="1" t="str">
        <f>IFERROR(__xludf.DUMMYFUNCTION("SUBSTITUTE(SUBSTITUTE(SUBSTITUTE(SUBSTITUTE(REGEXREPLACE(SUBSTITUTE(SUBSTITUTE(SUBSTITUTE(SUBSTITUTE(REGEXREPLACE(I354, ""(\[([ROYGBPTQUXZC_]|1?[0-9])\])"", ""[img=45]res://textures/icons/$2.png[/img]""),""--"",""—""),""-&gt;"",""•""),""~@"", CONCATENATE(""["&amp;"i]"",REGEXEXTRACT(B354,""^([\s\S]*),|$""),""[/i]"")),""~"", CONCATENATE(""[i]"",B354,""[/i]"")),""(\([\s\S]*?\))"",""[i][color=#34343A]$0[/color][/i]""), ""&lt;"", ""[""), ""&gt;"", ""]""), ""[/p][p]"", ""[font_size=15]\n\n[/font_size]""), ""[br/]"", ""\n"")"),"")</f>
        <v/>
      </c>
      <c r="W354" s="6" t="str">
        <f t="shared" si="23"/>
        <v>[i][/i]</v>
      </c>
      <c r="X354" s="1" t="str">
        <f t="shared" si="24"/>
        <v>0</v>
      </c>
      <c r="Y354" s="1"/>
    </row>
    <row r="355">
      <c r="A355" s="6"/>
      <c r="B355" s="6"/>
      <c r="S355" s="1" t="str">
        <f t="shared" si="22"/>
        <v/>
      </c>
      <c r="T355" s="6" t="str">
        <f>IFERROR(__xludf.DUMMYFUNCTION("CONCATENATE(if(REGEXMATCH(C355,""R""),"" Red"",""""),if(REGEXMATCH(C355,""O""),"" Orange"",""""),if(REGEXMATCH(C355,""Y""),"" Yellow"",""""),if(REGEXMATCH(C355,""G""),"" Green"",""""),if(REGEXMATCH(C355,""B""),"" Blue"",""""),if(REGEXMATCH(C355,""P""),"" "&amp;"Purple"",""""))"),"")</f>
        <v/>
      </c>
      <c r="U355" s="6" t="str">
        <f>IFERROR(__xludf.DUMMYFUNCTION("TRIM(CONCAT(""[right]"", REGEXREPLACE(C355, ""([ROYGBPXZC_]|1?[0-9])"", ""[img=119]res://textures/icons/$0.png[/img]\\n"")))"),"[right]")</f>
        <v>[right]</v>
      </c>
      <c r="V355" s="1" t="str">
        <f>IFERROR(__xludf.DUMMYFUNCTION("SUBSTITUTE(SUBSTITUTE(SUBSTITUTE(SUBSTITUTE(REGEXREPLACE(SUBSTITUTE(SUBSTITUTE(SUBSTITUTE(SUBSTITUTE(REGEXREPLACE(I355, ""(\[([ROYGBPTQUXZC_]|1?[0-9])\])"", ""[img=45]res://textures/icons/$2.png[/img]""),""--"",""—""),""-&gt;"",""•""),""~@"", CONCATENATE(""["&amp;"i]"",REGEXEXTRACT(B355,""^([\s\S]*),|$""),""[/i]"")),""~"", CONCATENATE(""[i]"",B355,""[/i]"")),""(\([\s\S]*?\))"",""[i][color=#34343A]$0[/color][/i]""), ""&lt;"", ""[""), ""&gt;"", ""]""), ""[/p][p]"", ""[font_size=15]\n\n[/font_size]""), ""[br/]"", ""\n"")"),"")</f>
        <v/>
      </c>
      <c r="W355" s="6" t="str">
        <f t="shared" si="23"/>
        <v>[i][/i]</v>
      </c>
      <c r="X355" s="1" t="str">
        <f t="shared" si="24"/>
        <v>0</v>
      </c>
      <c r="Y355" s="1"/>
    </row>
  </sheetData>
  <dataValidations count="1" disablePrompts="0">
    <dataValidation sqref="A1:B355" type="custom" allowBlank="1" errorStyle="stop" imeMode="noControl" operator="between" showDropDown="1" showErrorMessage="0" showInputMessage="0">
      <formula1>countif(A:A,#REF!)=1</formula1>
    </dataValidation>
  </dataValidations>
  <hyperlinks>
    <hyperlink r:id="rId1" ref="O25"/>
    <hyperlink r:id="rId2" ref="O117"/>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5"/>
  <extLst>
    <ext xmlns:x14="http://schemas.microsoft.com/office/spreadsheetml/2009/9/main" uri="{CCE6A557-97BC-4b89-ADB6-D9C93CAAB3DF}">
      <x14:dataValidations xmlns:xm="http://schemas.microsoft.com/office/excel/2006/main" count="3" disablePrompts="0">
        <x14:dataValidation xr:uid="{008E009A-0021-4547-8C74-004E00CB0006}" type="list" allowBlank="1" errorStyle="stop" imeMode="noControl" operator="between" showDropDown="0" showErrorMessage="0" showInputMessage="0">
          <x14:formula1>
            <xm:f>"Red,Orange,Yellow,Green,Blue,Purple,Generic,Multicolor"</xm:f>
          </x14:formula1>
          <xm:sqref>D2:D94 D96:D320</xm:sqref>
        </x14:dataValidation>
        <x14:dataValidation xr:uid="{001B0037-0013-4F66-AB24-00FE004F0082}" type="list" allowBlank="1" errorStyle="stop" imeMode="noControl" operator="between" showDropDown="0" showErrorMessage="0" showInputMessage="0">
          <x14:formula1>
            <xm:f>",Melee,Ranged"</xm:f>
          </x14:formula1>
          <xm:sqref>E2:E94 E96:E320</xm:sqref>
        </x14:dataValidation>
        <x14:dataValidation xr:uid="{0075006B-007F-43BF-B66F-00CD006F0033}" type="list" allowBlank="1" errorStyle="stop" imeMode="noControl" operator="between" showDropDown="0" showErrorMessage="0" showInputMessage="0">
          <x14:formula1>
            <xm:f>"Commander,Asset,R. Asset,Effect,R. Effect,Generator,R. Generator,Gen. Asset,R.Gen. Asset"</xm:f>
          </x14:formula1>
          <xm:sqref>F2:F94 F96:F320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ONLYOFFICE/7.3.3.50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