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threadedComments/threadedComment1.xml" ContentType="application/vnd.ms-excel.threadedcomments+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Cards" sheetId="1" state="visible" r:id="rId2"/>
    <sheet name="Sheet1" sheetId="2" state="hidden" r:id="rId3"/>
  </sheets>
  <definedNames>
    <definedName name="Z_3442EAD9_2593_48AC_818C_FD50C23E3B09_.wvu.FilterData" localSheetId="0" hidden="1">Cards!$A$1:$A$407</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tc={00AE005B-00AD-40B1-B219-00D8007B00CD}</author>
    <author>tc={00BC002B-0078-4361-894F-007B00700035}</author>
    <author>tc={00A2002B-00CC-4CD0-B8D9-00610072009D}</author>
    <author>tc={005F0091-0032-4B92-8A20-008300650046}</author>
    <author>tc={004C000D-00A6-4E17-88A6-004B006A00AD}</author>
    <author>tc={009E0033-0087-4D01-8F48-005C00880016}</author>
    <author>tc={00A7006C-000A-4D61-9921-00DF009400F9}</author>
    <author>tc={00CF0061-002C-4A21-8200-009B00EF006F}</author>
    <author>tc={006800FA-003A-4F52-AF4B-002D00AC0096}</author>
    <author>tc={00D70062-0013-44DD-B869-00DF005600C3}</author>
    <author>tc={00BA00AF-000D-4F4B-BE2C-00A1004100A7}</author>
    <author>tc={000D00EC-001D-4277-820B-00BC004A00FC}</author>
    <author>tc={00170083-00B6-4B54-9FCE-00BB001A00C9}</author>
    <author>tc={001D00C1-003D-4675-B253-00DB0062000C}</author>
    <author>tc={006B0084-00D5-406F-B5E8-00250062007E}</author>
    <author>tc={002600A4-0075-405D-841B-00880040001F}</author>
    <author>tc={002200FB-00C4-4615-8454-0041005F008F}</author>
    <author>tc={009200B9-00CD-4A14-9376-000C00D60026}</author>
    <author>tc={00D30009-00E0-4CB3-8FD8-005C00DE002F}</author>
    <author>tc={009500A3-000D-4606-BEBE-006900910020}</author>
    <author>tc={00CE00A4-0074-40A8-957E-007900E4006D}</author>
    <author>tc={00AC00F1-0023-4D7D-BAF4-006A00B0004A}</author>
    <author>tc={004D0088-0053-4D2D-8F01-004A004D0002}</author>
    <author>tc={006C0081-006D-41FF-83C6-00CA00F200E5}</author>
    <author>tc={00B800C7-0093-416E-96EB-00EF00FA0051}</author>
    <author>tc={0057006E-0008-4D55-9CE9-001700320044}</author>
    <author>tc={00F100CF-0095-4B0C-BC36-000D00B80055}</author>
    <author>tc={005700F3-005D-4606-94D4-00DC00990087}</author>
    <author>tc={00BA007E-0017-4976-8719-005000E20057}</author>
    <author>tc={00F200F6-00E9-4E9D-8CF1-007B00950049}</author>
    <author>tc={0020009F-0043-4399-A13F-0074000300A2}</author>
    <author>tc={00300039-009B-46D9-A073-00A7007B00DC}</author>
    <author>tc={00EA00AD-0074-47A0-8821-00F60089007D}</author>
    <author>tc={00B40098-007F-4112-9363-008900290009}</author>
    <author>tc={002B003C-0001-4A4F-AA65-0062000C0083}</author>
    <author>tc={00FC0086-0046-4F7F-9BDC-000D00E4007D}</author>
    <author>tc={00F90059-009D-4AF0-A5D6-00F0007C00CF}</author>
  </authors>
  <commentList>
    <comment ref="A1" authorId="0" xr:uid="{00AE005B-00AD-40B1-B219-00D8007B00CD}">
      <text>
        <r>
          <rPr>
            <b/>
            <sz val="9"/>
            <rFont val="Tahoma"/>
          </rPr>
          <t>paradox:</t>
        </r>
        <r>
          <rPr>
            <sz val="9"/>
            <rFont val="Tahoma"/>
          </rPr>
          <t xml:space="preserve">
0_ is for tokens
z_ is for external (mtg, msem, etc...) cards
</t>
        </r>
      </text>
    </comment>
    <comment ref="H1" authorId="1" xr:uid="{00BC002B-0078-4361-894F-007B00700035}">
      <text>
        <r>
          <rPr>
            <b/>
            <sz val="9"/>
            <rFont val="Tahoma"/>
          </rPr>
          <t>paradox:</t>
        </r>
        <r>
          <rPr>
            <sz val="9"/>
            <rFont val="Tahoma"/>
          </rPr>
          <t xml:space="preserve">
(0-4 = common, 5-8 = uncommon, 9-10 = rare)
</t>
        </r>
      </text>
    </comment>
    <comment ref="I118" authorId="2" xr:uid="{00A2002B-00CC-4CD0-B8D9-00610072009D}">
      <text>
        <r>
          <rPr>
            <b/>
            <sz val="9"/>
            <rFont val="Tahoma"/>
          </rPr>
          <t>paradox:</t>
        </r>
        <r>
          <rPr>
            <sz val="9"/>
            <rFont val="Tahoma"/>
          </rPr>
          <t xml:space="preserve">
Give airdrop to assets too?
</t>
        </r>
      </text>
    </comment>
    <comment ref="B144" authorId="3" xr:uid="{005F0091-0032-4B92-8A20-008300650046}">
      <text>
        <r>
          <rPr>
            <b/>
            <sz val="9"/>
            <rFont val="Tahoma"/>
          </rPr>
          <t>paradox:</t>
        </r>
        <r>
          <rPr>
            <sz val="9"/>
            <rFont val="Tahoma"/>
          </rPr>
          <t xml:space="preserve">
Emergency Deployment Vehicle
</t>
        </r>
      </text>
    </comment>
    <comment ref="G154" authorId="4" xr:uid="{004C000D-00A6-4E17-88A6-004B006A00AD}">
      <text>
        <r>
          <rPr>
            <b/>
            <sz val="9"/>
            <rFont val="Tahoma"/>
          </rPr>
          <t>paradox:</t>
        </r>
        <r>
          <rPr>
            <sz val="9"/>
            <rFont val="Tahoma"/>
          </rPr>
          <t xml:space="preserve">
Marking this female a bad move?
</t>
        </r>
      </text>
    </comment>
    <comment ref="I155" authorId="5" xr:uid="{009E0033-0087-4D01-8F48-005C00880016}">
      <text>
        <r>
          <rPr>
            <b/>
            <sz val="9"/>
            <rFont val="Tahoma"/>
          </rPr>
          <t>paradox:</t>
        </r>
        <r>
          <rPr>
            <sz val="9"/>
            <rFont val="Tahoma"/>
          </rPr>
          <t xml:space="preserve">
Should this cost 6 to append?
</t>
        </r>
      </text>
    </comment>
    <comment ref="C156" authorId="6" xr:uid="{00A7006C-000A-4D61-9921-00DF009400F9}">
      <text>
        <r>
          <rPr>
            <b/>
            <sz val="9"/>
            <rFont val="Tahoma"/>
          </rPr>
          <t>paradox:</t>
        </r>
        <r>
          <rPr>
            <sz val="9"/>
            <rFont val="Tahoma"/>
          </rPr>
          <t xml:space="preserve">
Should this cost more? Maybe cost more if it is targeting a card you control?
</t>
        </r>
      </text>
    </comment>
    <comment ref="I157" authorId="7" xr:uid="{00CF0061-002C-4A21-8200-009B00EF006F}">
      <text>
        <r>
          <rPr>
            <b/>
            <sz val="9"/>
            <rFont val="Tahoma"/>
          </rPr>
          <t>paradox:</t>
        </r>
        <r>
          <rPr>
            <sz val="9"/>
            <rFont val="Tahoma"/>
          </rPr>
          <t xml:space="preserve">
Is making this card castable by any color busted?
</t>
        </r>
      </text>
    </comment>
    <comment ref="I174" authorId="8" xr:uid="{006800FA-003A-4F52-AF4B-002D00AC0096}">
      <text>
        <r>
          <rPr>
            <b/>
            <sz val="9"/>
            <rFont val="Tahoma"/>
          </rPr>
          <t>paradox:</t>
        </r>
        <r>
          <rPr>
            <sz val="9"/>
            <rFont val="Tahoma"/>
          </rPr>
          <t xml:space="preserve">
Is this a green card? Should it be purple?
</t>
        </r>
      </text>
    </comment>
    <comment ref="I175" authorId="9" xr:uid="{00D70062-0013-44DD-B869-00DF005600C3}">
      <text>
        <r>
          <rPr>
            <b/>
            <sz val="9"/>
            <rFont val="Tahoma"/>
          </rPr>
          <t>paradox:</t>
        </r>
        <r>
          <rPr>
            <sz val="9"/>
            <rFont val="Tahoma"/>
          </rPr>
          <t xml:space="preserve">
Should this only search for non-combatants?
</t>
        </r>
      </text>
    </comment>
    <comment ref="B218" authorId="10" xr:uid="{00BA00AF-000D-4F4B-BE2C-00A1004100A7}">
      <text>
        <r>
          <rPr>
            <b/>
            <sz val="9"/>
            <rFont val="Tahoma"/>
          </rPr>
          <t>paradox:</t>
        </r>
        <r>
          <rPr>
            <sz val="9"/>
            <rFont val="Tahoma"/>
          </rPr>
          <t xml:space="preserve">
More Specific Name?
</t>
        </r>
      </text>
    </comment>
    <comment ref="B225" authorId="11" xr:uid="{000D00EC-001D-4277-820B-00BC004A00FC}">
      <text>
        <r>
          <rPr>
            <b/>
            <sz val="9"/>
            <rFont val="Tahoma"/>
          </rPr>
          <t>paradox:</t>
        </r>
        <r>
          <rPr>
            <sz val="9"/>
            <rFont val="Tahoma"/>
          </rPr>
          <t xml:space="preserve">
Autonomous Logistics, Intelligence, and Vitality Envoy
</t>
        </r>
      </text>
    </comment>
    <comment ref="I229" authorId="12" xr:uid="{00170083-00B6-4B54-9FCE-00BB001A00C9}">
      <text>
        <r>
          <rPr>
            <b/>
            <sz val="9"/>
            <rFont val="Tahoma"/>
          </rPr>
          <t>paradox:</t>
        </r>
        <r>
          <rPr>
            <sz val="9"/>
            <rFont val="Tahoma"/>
          </rPr>
          <t xml:space="preserve">
Should this card say +1/+0 or +0/+1?
</t>
        </r>
      </text>
    </comment>
    <comment ref="B231" authorId="13" xr:uid="{001D00C1-003D-4675-B253-00DB0062000C}">
      <text>
        <r>
          <rPr>
            <b/>
            <sz val="9"/>
            <rFont val="Tahoma"/>
          </rPr>
          <t>paradox:</t>
        </r>
        <r>
          <rPr>
            <sz val="9"/>
            <rFont val="Tahoma"/>
          </rPr>
          <t xml:space="preserve">
Does this name make any sense?
</t>
        </r>
      </text>
    </comment>
    <comment ref="F231" authorId="14" xr:uid="{006B0084-00D5-406F-B5E8-00250062007E}">
      <text>
        <r>
          <rPr>
            <b/>
            <sz val="9"/>
            <rFont val="Tahoma"/>
          </rPr>
          <t>paradox:</t>
        </r>
        <r>
          <rPr>
            <sz val="9"/>
            <rFont val="Tahoma"/>
          </rPr>
          <t xml:space="preserve">
Does this card need to be renowned to avoid infinate healing loops?
</t>
        </r>
      </text>
    </comment>
    <comment ref="B251" authorId="15" xr:uid="{002600A4-0075-405D-841B-00880040001F}">
      <text>
        <r>
          <rPr>
            <b/>
            <sz val="9"/>
            <rFont val="Tahoma"/>
          </rPr>
          <t>paradox:</t>
        </r>
        <r>
          <rPr>
            <sz val="9"/>
            <rFont val="Tahoma"/>
          </rPr>
          <t xml:space="preserve">
To generic of a name?
</t>
        </r>
      </text>
    </comment>
    <comment ref="I267" authorId="16" xr:uid="{002200FB-00C4-4615-8454-0041005F008F}">
      <text>
        <r>
          <rPr>
            <b/>
            <sz val="9"/>
            <rFont val="Tahoma"/>
          </rPr>
          <t>paradox:</t>
        </r>
        <r>
          <rPr>
            <sz val="9"/>
            <rFont val="Tahoma"/>
          </rPr>
          <t xml:space="preserve">
The wording on Heal isn't great.
</t>
        </r>
      </text>
    </comment>
    <comment ref="I268" authorId="17" xr:uid="{009200B9-00CD-4A14-9376-000C00D60026}">
      <text>
        <r>
          <rPr>
            <b/>
            <sz val="9"/>
            <rFont val="Tahoma"/>
          </rPr>
          <t>paradox:</t>
        </r>
        <r>
          <rPr>
            <sz val="9"/>
            <rFont val="Tahoma"/>
          </rPr>
          <t xml:space="preserve">
This card is super useless, should it be able to intercept?
</t>
        </r>
      </text>
    </comment>
    <comment ref="A284" authorId="18" xr:uid="{00D30009-00E0-4CB3-8FD8-005C00DE002F}">
      <text>
        <r>
          <rPr>
            <b/>
            <sz val="9"/>
            <rFont val="Tahoma"/>
          </rPr>
          <t>paradox:</t>
        </r>
        <r>
          <rPr>
            <sz val="9"/>
            <rFont val="Tahoma"/>
          </rPr>
          <t xml:space="preserve">
Is this effect good enouph to be rare?
</t>
        </r>
      </text>
    </comment>
    <comment ref="B302" authorId="19" xr:uid="{009500A3-000D-4606-BEBE-006900910020}">
      <text>
        <r>
          <rPr>
            <b/>
            <sz val="9"/>
            <rFont val="Tahoma"/>
          </rPr>
          <t>paradox:</t>
        </r>
        <r>
          <rPr>
            <sz val="9"/>
            <rFont val="Tahoma"/>
          </rPr>
          <t xml:space="preserve">
Needs non-stolen name
</t>
        </r>
      </text>
    </comment>
    <comment ref="A311" authorId="20" xr:uid="{00CE00A4-0074-40A8-957E-007900E4006D}">
      <text>
        <r>
          <rPr>
            <b/>
            <sz val="9"/>
            <rFont val="Tahoma"/>
          </rPr>
          <t>paradox:</t>
        </r>
        <r>
          <rPr>
            <sz val="9"/>
            <rFont val="Tahoma"/>
          </rPr>
          <t xml:space="preserve">
Should jon be a rare?
</t>
        </r>
      </text>
    </comment>
    <comment ref="I314" authorId="21" xr:uid="{00AC00F1-0023-4D7D-BAF4-006A00B0004A}">
      <text>
        <r>
          <rPr>
            <b/>
            <sz val="9"/>
            <rFont val="Tahoma"/>
          </rPr>
          <t>paradox:</t>
        </r>
        <r>
          <rPr>
            <sz val="9"/>
            <rFont val="Tahoma"/>
          </rPr>
          <t xml:space="preserve">
Should the append cost something like [RB]?
</t>
        </r>
      </text>
    </comment>
    <comment ref="C320" authorId="22" xr:uid="{004D0088-0053-4D2D-8F01-004A004D0002}">
      <text>
        <r>
          <rPr>
            <b/>
            <sz val="9"/>
            <rFont val="Tahoma"/>
          </rPr>
          <t>paradox:</t>
        </r>
        <r>
          <rPr>
            <sz val="9"/>
            <rFont val="Tahoma"/>
          </rPr>
          <t xml:space="preserve">
Should this be a colorless card?
</t>
        </r>
      </text>
    </comment>
    <comment ref="I326" authorId="23" xr:uid="{006C0081-006D-41FF-83C6-00CA00F200E5}">
      <text>
        <r>
          <rPr>
            <b/>
            <sz val="9"/>
            <rFont val="Tahoma"/>
          </rPr>
          <t>paradox:</t>
        </r>
        <r>
          <rPr>
            <sz val="9"/>
            <rFont val="Tahoma"/>
          </rPr>
          <t xml:space="preserve">
Should this have advantagious?
</t>
        </r>
      </text>
    </comment>
    <comment ref="I340" authorId="24" xr:uid="{00B800C7-0093-416E-96EB-00EF00FA0051}">
      <text>
        <r>
          <rPr>
            <b/>
            <sz val="9"/>
            <rFont val="Tahoma"/>
          </rPr>
          <t>paradox:</t>
        </r>
        <r>
          <rPr>
            <sz val="9"/>
            <rFont val="Tahoma"/>
          </rPr>
          <t xml:space="preserve">
Is this card now litterally unplayable?
</t>
        </r>
      </text>
    </comment>
    <comment ref="C342" authorId="25" xr:uid="{0057006E-0008-4D55-9CE9-001700320044}">
      <text>
        <r>
          <rPr>
            <b/>
            <sz val="9"/>
            <rFont val="Tahoma"/>
          </rPr>
          <t>paradox:</t>
        </r>
        <r>
          <rPr>
            <sz val="9"/>
            <rFont val="Tahoma"/>
          </rPr>
          <t xml:space="preserve">
Should this card cost 8?
</t>
        </r>
      </text>
    </comment>
    <comment ref="F342" authorId="26" xr:uid="{00F100CF-0095-4B0C-BC36-000D00B80055}">
      <text>
        <r>
          <rPr>
            <b/>
            <sz val="9"/>
            <rFont val="Tahoma"/>
          </rPr>
          <t>paradox:</t>
        </r>
        <r>
          <rPr>
            <sz val="9"/>
            <rFont val="Tahoma"/>
          </rPr>
          <t xml:space="preserve">
Make it renowned?
</t>
        </r>
      </text>
    </comment>
    <comment ref="I348" authorId="27" xr:uid="{005700F3-005D-4606-94D4-00DC00990087}">
      <text>
        <r>
          <rPr>
            <b/>
            <sz val="9"/>
            <rFont val="Tahoma"/>
          </rPr>
          <t>paradox:</t>
        </r>
        <r>
          <rPr>
            <sz val="9"/>
            <rFont val="Tahoma"/>
          </rPr>
          <t xml:space="preserve">
Does this card not  having tradeable make it litterally unplayable.
</t>
        </r>
      </text>
    </comment>
    <comment ref="I352" authorId="28" xr:uid="{00BA007E-0017-4976-8719-005000E20057}">
      <text>
        <r>
          <rPr>
            <b/>
            <sz val="9"/>
            <rFont val="Tahoma"/>
          </rPr>
          <t>paradox:</t>
        </r>
        <r>
          <rPr>
            <sz val="9"/>
            <rFont val="Tahoma"/>
          </rPr>
          <t xml:space="preserve">
Does the may clause make this card too strong?
The way this is worded, the bomb goes off, but you get too choose if the vehicle is destroyed...
</t>
        </r>
      </text>
    </comment>
    <comment ref="I360" authorId="29" xr:uid="{00F200F6-00E9-4E9D-8CF1-007B00950049}">
      <text>
        <r>
          <rPr>
            <b/>
            <sz val="9"/>
            <rFont val="Tahoma"/>
          </rPr>
          <t>paradox:</t>
        </r>
        <r>
          <rPr>
            <sz val="9"/>
            <rFont val="Tahoma"/>
          </rPr>
          <t xml:space="preserve">
Is allowing any number of reloads a good idea?
</t>
        </r>
      </text>
    </comment>
    <comment ref="B38" authorId="30" xr:uid="{0020009F-0043-4399-A13F-0074000300A2}">
      <text>
        <r>
          <rPr>
            <b/>
            <sz val="9"/>
            <rFont val="Tahoma"/>
          </rPr>
          <t>paradox:</t>
        </r>
        <r>
          <rPr>
            <sz val="9"/>
            <rFont val="Tahoma"/>
          </rPr>
          <t xml:space="preserve">
New Name?
</t>
        </r>
      </text>
    </comment>
    <comment ref="I381" authorId="31" xr:uid="{00300039-009B-46D9-A073-00A7007B00DC}">
      <text>
        <r>
          <rPr>
            <b/>
            <sz val="9"/>
            <rFont val="Tahoma"/>
          </rPr>
          <t>paradox:</t>
        </r>
        <r>
          <rPr>
            <sz val="9"/>
            <rFont val="Tahoma"/>
          </rPr>
          <t xml:space="preserve">
Being able to choose two was way too oppresive.
</t>
        </r>
      </text>
    </comment>
    <comment ref="B58" authorId="32" xr:uid="{00EA00AD-0074-47A0-8821-00F60089007D}">
      <text>
        <r>
          <rPr>
            <b/>
            <sz val="9"/>
            <rFont val="Tahoma"/>
          </rPr>
          <t>paradox:</t>
        </r>
        <r>
          <rPr>
            <sz val="9"/>
            <rFont val="Tahoma"/>
          </rPr>
          <t xml:space="preserve">
What is the actual name for this?
</t>
        </r>
      </text>
    </comment>
    <comment ref="C58" authorId="33" xr:uid="{00B40098-007F-4112-9363-008900290009}">
      <text>
        <r>
          <rPr>
            <b/>
            <sz val="9"/>
            <rFont val="Tahoma"/>
          </rPr>
          <t>paradox:</t>
        </r>
        <r>
          <rPr>
            <sz val="9"/>
            <rFont val="Tahoma"/>
          </rPr>
          <t xml:space="preserve">
Should it cost more?
</t>
        </r>
      </text>
    </comment>
    <comment ref="C83" authorId="34" xr:uid="{002B003C-0001-4A4F-AA65-0062000C0083}">
      <text>
        <r>
          <rPr>
            <b/>
            <sz val="9"/>
            <rFont val="Tahoma"/>
          </rPr>
          <t>paradox:</t>
        </r>
        <r>
          <rPr>
            <sz val="9"/>
            <rFont val="Tahoma"/>
          </rPr>
          <t xml:space="preserve">
statline too good for 1 energy?
</t>
        </r>
      </text>
    </comment>
    <comment ref="B94" authorId="35" xr:uid="{00FC0086-0046-4F7F-9BDC-000D00E4007D}">
      <text>
        <r>
          <rPr>
            <b/>
            <sz val="9"/>
            <rFont val="Tahoma"/>
          </rPr>
          <t>paradox:</t>
        </r>
        <r>
          <rPr>
            <sz val="9"/>
            <rFont val="Tahoma"/>
          </rPr>
          <t xml:space="preserve">
Is this card just disgustingly op?
</t>
        </r>
      </text>
    </comment>
    <comment ref="D99" authorId="36" xr:uid="{00F90059-009D-4AF0-A5D6-00F0007C00CF}">
      <text>
        <r>
          <rPr>
            <b/>
            <sz val="9"/>
            <rFont val="Tahoma"/>
          </rPr>
          <t>paradox:</t>
        </r>
        <r>
          <rPr>
            <sz val="9"/>
            <rFont val="Tahoma"/>
          </rPr>
          <t xml:space="preserve">
Should this be colorless?
</t>
        </r>
      </text>
    </comment>
  </commentList>
</comments>
</file>

<file path=xl/sharedStrings.xml><?xml version="1.0" encoding="utf-8"?>
<sst xmlns="http://schemas.openxmlformats.org/spreadsheetml/2006/main" count="1480" uniqueCount="1480">
  <si>
    <t>Slot</t>
  </si>
  <si>
    <t>Name</t>
  </si>
  <si>
    <t>Cost</t>
  </si>
  <si>
    <t>Color</t>
  </si>
  <si>
    <t>Melee/Ranged</t>
  </si>
  <si>
    <t>Type</t>
  </si>
  <si>
    <t>Subtype</t>
  </si>
  <si>
    <t xml:space="preserve">Effectiveness (0-4 = common, 5-8 = uncommon, 9-10 = rare)</t>
  </si>
  <si>
    <t>Rules</t>
  </si>
  <si>
    <t>Flavor</t>
  </si>
  <si>
    <t xml:space="preserve">Attack Power</t>
  </si>
  <si>
    <t>Health</t>
  </si>
  <si>
    <t>Image</t>
  </si>
  <si>
    <t>Artist</t>
  </si>
  <si>
    <t>Notes</t>
  </si>
  <si>
    <t xml:space="preserve">Name Size</t>
  </si>
  <si>
    <t xml:space="preserve">Subtype Size</t>
  </si>
  <si>
    <t xml:space="preserve">Has PH</t>
  </si>
  <si>
    <t xml:space="preserve">Color Calculator</t>
  </si>
  <si>
    <t xml:space="preserve">Iconified Cost</t>
  </si>
  <si>
    <t xml:space="preserve">Iconified Rules</t>
  </si>
  <si>
    <t xml:space="preserve">Italicized Type</t>
  </si>
  <si>
    <t xml:space="preserve">Setted Slot</t>
  </si>
  <si>
    <t>0_001</t>
  </si>
  <si>
    <t>Bullet</t>
  </si>
  <si>
    <t>0</t>
  </si>
  <si>
    <t>Asset</t>
  </si>
  <si>
    <t xml:space="preserve">&lt;u&gt;Transient&lt;/u&gt; Bullet</t>
  </si>
  <si>
    <t xml:space="preserve">&lt;p&gt;&lt;center&gt;&lt;u&gt;Transient&lt;/u&gt; (If ~ would enter your discard, instead remove it from the game.)&lt;/center&gt;&lt;/p&gt;&lt;p&gt;[T], &lt;u&gt;Forfeit&lt;/u&gt; (Put the specified card into its owner's discard.) ~: ~ deals 2 damage to an asset or player of your choice.&lt;/p&gt;&lt;p&gt;[T], &lt;u&gt;Forfeit&lt;/u&gt; ~: Choose a gun you control; restore 1 ammo to it.&lt;/p&gt;</t>
  </si>
  <si>
    <t/>
  </si>
  <si>
    <t>0_002</t>
  </si>
  <si>
    <t>Doubt</t>
  </si>
  <si>
    <t>3</t>
  </si>
  <si>
    <t>Effect</t>
  </si>
  <si>
    <t xml:space="preserve">&lt;u&gt;Transient&lt;/u&gt; Tragedy</t>
  </si>
  <si>
    <t xml:space="preserve">&lt;center&gt;&lt;u&gt;Transient&lt;/u&gt; (If ~ would enter your discard, instead remove it from the game.)&lt;/center&gt;&lt;p&gt;When you draw ~, reveal it and your commander loses 1 loyalty.&lt;/p&gt;&lt;p&gt;Each commander loses 1 loyalty.&lt;/p&gt;</t>
  </si>
  <si>
    <t xml:space="preserve">"A great leader is able to assuage the doubts of their critics."</t>
  </si>
  <si>
    <t>0_003</t>
  </si>
  <si>
    <t>Incarceration</t>
  </si>
  <si>
    <t xml:space="preserve">&lt;p&gt;When you draw ~, reveal it, then exhaust all of your generators. This effect can't be responded to.&lt;/p&gt;&lt;p&gt;Each player draws a card.&lt;/p&gt;</t>
  </si>
  <si>
    <t xml:space="preserve">"A night in prison never hurt anyone." &lt;p&gt;-- Capt. Lux&lt;/p&gt;</t>
  </si>
  <si>
    <t>.</t>
  </si>
  <si>
    <t>0_004</t>
  </si>
  <si>
    <t>Tip</t>
  </si>
  <si>
    <t>2</t>
  </si>
  <si>
    <t xml:space="preserve">&lt;u&gt;Transient&lt;/u&gt; Clue &lt;u&gt;Response&lt;/u&gt;</t>
  </si>
  <si>
    <t xml:space="preserve">&lt;center&gt;&lt;u&gt;Transient&lt;/u&gt; (If ~ would enter your discard, instead remove it from the game.), &lt;u&gt;Response&lt;/u&gt; (You may deploy ~ in response to other cards and effects.), &lt;u&gt;Advantageous&lt;/u&gt; (When ~ resolves, draw a card.)&lt;/center&gt;&lt;p&gt;When you draw ~, reveal it, then draw a card.&lt;/p&gt;</t>
  </si>
  <si>
    <t xml:space="preserve">1 step close to the truth.</t>
  </si>
  <si>
    <t>0_005</t>
  </si>
  <si>
    <t>Duck</t>
  </si>
  <si>
    <t>1</t>
  </si>
  <si>
    <t>Melee</t>
  </si>
  <si>
    <t xml:space="preserve">&lt;u&gt;Transient&lt;/u&gt; Duck</t>
  </si>
  <si>
    <t xml:space="preserve">&lt;center&gt;&lt;u&gt;Transient&lt;/u&gt; (If ~ would enter your discard, instead remove it from the game.), &lt;u&gt;Flying&lt;/u&gt; (~ can only be intercepted by assets with ranged or flying. If ~ is intercepting you may choose another combatant or commander you control, that is not also intercepting, to take the damage instead.)&lt;/center&gt;</t>
  </si>
  <si>
    <t>0_006</t>
  </si>
  <si>
    <t xml:space="preserve">Emergency Defibrillator</t>
  </si>
  <si>
    <t>BB</t>
  </si>
  <si>
    <t xml:space="preserve">&lt;u&gt;Fleeting&lt;/u&gt; &lt;u&gt;Transient&lt;/u&gt; &lt;u&gt;Response&lt;/u&gt;</t>
  </si>
  <si>
    <t xml:space="preserve">&lt;center&gt;&lt;u&gt;Fleeting&lt;/u&gt; (Discard ~ at the end of your turn.), &lt;u&gt;Transient&lt;/u&gt; (If ~ would enter your discard, instead remove it from the game.), &lt;u&gt;Response&lt;/u&gt; (You may deploy ~ in response to other cards and effects.)&lt;/center&gt;&lt;p&gt;Choose a combatant that entered your discard this turn; return that card to your hand.&lt;/p&gt;</t>
  </si>
  <si>
    <t>0_007</t>
  </si>
  <si>
    <t xml:space="preserve">Fellow Officer</t>
  </si>
  <si>
    <t>B</t>
  </si>
  <si>
    <t xml:space="preserve">&lt;u&gt;Transient&lt;/u&gt; Human Police</t>
  </si>
  <si>
    <t xml:space="preserve">&lt;center&gt;&lt;u&gt;Transient&lt;/u&gt; (If ~ would enter your discard, instead remove it from the game.)&lt;/center&gt;&lt;p&gt;~ can be placed into a ranged slot of a formation.&lt;/p&gt;</t>
  </si>
  <si>
    <t xml:space="preserve">"Now they make fun of me for getting covered in &lt;b&gt;REDACTED&lt;/b&gt;."</t>
  </si>
  <si>
    <t>0_008</t>
  </si>
  <si>
    <t>Savings</t>
  </si>
  <si>
    <t>Generic</t>
  </si>
  <si>
    <t xml:space="preserve">&lt;u&gt;Transient&lt;/u&gt; &lt;u&gt;Response&lt;/u&gt;</t>
  </si>
  <si>
    <t xml:space="preserve">&lt;center&gt;&lt;u&gt;Transient&lt;/u&gt; (If ~ would enter your discard, instead remove it from the game.), &lt;u&gt;Response&lt;/u&gt; (You may deploy ~ in response to other cards and effects.)&lt;/center&gt;&lt;p&gt;Choose a card in your hand; it permanently costs [1] less.&lt;/p&gt;</t>
  </si>
  <si>
    <t>0_CMDR</t>
  </si>
  <si>
    <t>W.E.B</t>
  </si>
  <si>
    <t>ROYGBP</t>
  </si>
  <si>
    <t>Commander</t>
  </si>
  <si>
    <t>Virtual</t>
  </si>
  <si>
    <t xml:space="preserve">&lt;p&gt;&lt;b&gt;&lt;i&gt;As Commander&lt;/i&gt; --&lt;/b&gt; [5], ~ loses 2 loyalty: Draw a card.&lt;/p&gt;&lt;p&gt;(~ can only be included in a deck as its commander.)&lt;/p&gt;</t>
  </si>
  <si>
    <t>R_CMDR_1</t>
  </si>
  <si>
    <t xml:space="preserve">Lexi 'Lux' Xenos, Beacon's Captain</t>
  </si>
  <si>
    <t>2R</t>
  </si>
  <si>
    <t>Ranged</t>
  </si>
  <si>
    <t xml:space="preserve">Human Female Beacon Pirate Leader</t>
  </si>
  <si>
    <t>9</t>
  </si>
  <si>
    <t xml:space="preserve">&lt;center&gt;(Becomes &lt;i&gt;'Lux's Quest'&lt;/i&gt; if you already control Lux.) &lt;u&gt;Warrant&lt;/u&gt;&lt;/center&gt;&lt;p&gt;&lt;b&gt;&lt;i&gt;As Commander&lt;/i&gt; --&lt;/b&gt; Whenever an asset you don't control leaves the battlefield or comes under your control, you may look at the top 2 cards of your deck, reorder them, and then send any number of them to your discard.&lt;/p&gt;&lt;p&gt;&lt;b&gt;&lt;i&gt;As Asset&lt;/i&gt; --&lt;/b&gt; Whenever Lux deals combat damage to a commander, put the top 2 cards of that commander's owner's deck under her. Treat those cards as if they were in your hand.&lt;/p&gt;</t>
  </si>
  <si>
    <t xml:space="preserve">"Lexi was weak and frail. Lux is a gleaming beacon for the downtrodden."</t>
  </si>
  <si>
    <t>R_CMDR_1b</t>
  </si>
  <si>
    <t xml:space="preserve">Lux's Quest</t>
  </si>
  <si>
    <t>1RR</t>
  </si>
  <si>
    <t xml:space="preserve">R. Effect</t>
  </si>
  <si>
    <t>&lt;u&gt;Personal&lt;/u&gt;</t>
  </si>
  <si>
    <t xml:space="preserve">&lt;center&gt;(This effect can only be deployed if you control a renowned asset. Banked energy can't be spent to deploy renowned cards.)&lt;/center&gt;&lt;p&gt;Choose an asset; permanently gain control of it.&lt;/p&gt;&lt;p&gt;&lt;u&gt;Personal&lt;/u&gt; (Shuffle &lt;i&gt;'Lexi 'Lux' Xenos, Beacon's Captain'&lt;/i&gt; into your deck.)&lt;/p&gt;</t>
  </si>
  <si>
    <t xml:space="preserve">"My first time in space a couple of Brigg's boys passed me around in the hold. You know what she did about it? Got a promotion for doing nothing! Let's see how she feels when her world comes crashing down around her!" &lt;p&gt;-- Capt. Lux&lt;/p&gt;</t>
  </si>
  <si>
    <t>RR_001</t>
  </si>
  <si>
    <t xml:space="preserve">Lina Pathak, Beacon's Head Technician</t>
  </si>
  <si>
    <t>3R</t>
  </si>
  <si>
    <t xml:space="preserve">R. Asset</t>
  </si>
  <si>
    <t xml:space="preserve">Augmented Female Beacon Pirate Engineer</t>
  </si>
  <si>
    <t>10</t>
  </si>
  <si>
    <t xml:space="preserve">&lt;center&gt;(Becomes &lt;i&gt;'Lina's Tinkering'&lt;/i&gt; if you already control ~.)&lt;br/&gt;&lt;u&gt;Warrant&lt;/u&gt; (When ~@ enters the battlefield, shuffle an 'Incarceration' into your deck.)&lt;/center&gt;&lt;p&gt;Whenever you gain control of an asset an opponent controls, shuffle a &lt;i&gt;Prototype Tractor Beam'&lt;/i&gt; into your deck.&lt;/p&gt;</t>
  </si>
  <si>
    <t xml:space="preserve">"Every member of Lux's crew was beaten down by society in some way.. Like Tesla I am a man too brilliant for my time."</t>
  </si>
  <si>
    <t>RR_001b</t>
  </si>
  <si>
    <t xml:space="preserve">Lina's Tinkering</t>
  </si>
  <si>
    <t xml:space="preserve">&lt;u&gt;Personal&lt;/u&gt; Experiment</t>
  </si>
  <si>
    <t xml:space="preserve">&lt;center&gt;(This effect can only be deployed if you control a renowned asset. Banked energy can't be spent to deploy renowned cards.)&lt;/center&gt;&lt;p&gt;Choose a non-combatant asset in your hand or on the battlefield and another in your discard; swap them.&lt;/p&gt;&lt;p&gt;&lt;u&gt;Personal&lt;/u&gt; (Shuffle &lt;i&gt;'Lina Pathak, Beacon's Head Technician'&lt;/i&gt; into your deck.)&lt;/p&gt;</t>
  </si>
  <si>
    <t>RR_002</t>
  </si>
  <si>
    <t xml:space="preserve">Prototype Tractor Beam</t>
  </si>
  <si>
    <t xml:space="preserve">Equipment Beacon</t>
  </si>
  <si>
    <t xml:space="preserve">When ~ enters the battlefield, choose a combatant to attach it to.&lt;p&gt;The attached asset gains &lt;u&gt;sluggish&lt;/u&gt; (The specified asset deals combat damage after assets without sluggish.), ranged, and "whenever this asset deals combat damage to a commander, gain control of an asset that commander's controller controls with &lt;u&gt;generalized cost&lt;/u&gt; less than or equal to this asset's attack power, then &lt;u&gt;forfeit&lt;/u&gt; ~."&lt;/p&gt;</t>
  </si>
  <si>
    <t xml:space="preserve">"It's really just a powerful magnet.. but the lights make it look really cool!" &lt;p&gt;-- Cristina Gilca&lt;/p&gt;</t>
  </si>
  <si>
    <t>RR_003</t>
  </si>
  <si>
    <t>Commandeer</t>
  </si>
  <si>
    <t>3RR</t>
  </si>
  <si>
    <t xml:space="preserve">&lt;center&gt;(This effect can only be deployed if you control a renowned asset. Banked energy can't be spent to deploy renowned cards.)&lt;br/&gt;&lt;u&gt;Warrant&lt;/u&gt; (When you deploy ~, shuffle an 'Incarceration' into your deck.)&lt;/center&gt;&lt;p&gt;Choose an asset or generator; permanently gain control of it.&lt;/p&gt;</t>
  </si>
  <si>
    <t>RR_004</t>
  </si>
  <si>
    <t xml:space="preserve">Mechanized Martial Arts</t>
  </si>
  <si>
    <t>2RR</t>
  </si>
  <si>
    <t xml:space="preserve">&lt;center&gt;&lt;u&gt;Warrant&lt;/u&gt; (When you deploy ~, shuffle an 'Incarceration' into your deck.)&lt;/center&gt;&lt;p&gt;Choose one:&lt;ul&gt;Choose a combatant; kill it.&lt;br/&gt;Choose a combatant; its owner &lt;u&gt;forfeits&lt;/u&gt; (Put the specified assets into their owners' discards.) all equipment attached to it (tradeable can't be activated in response to this effect.)&lt;/ul&gt;&lt;/p&gt;</t>
  </si>
  <si>
    <t>RU_001</t>
  </si>
  <si>
    <t>Cripple</t>
  </si>
  <si>
    <t>&lt;u&gt;Response&lt;/u&gt;</t>
  </si>
  <si>
    <t>6</t>
  </si>
  <si>
    <t xml:space="preserve">&lt;center&gt;&lt;u&gt;Retribution&lt;/u&gt; (When you draw ~ as a result of taking damage, you may deploy it without paying its cost.)&lt;/center&gt;&lt;p&gt;Choose an asset; it permanently gains &lt;u&gt;sluggish&lt;/u&gt; (The specified asset deals combat damage after assets without sluggish.) and -5/-5.&lt;/p&gt;</t>
  </si>
  <si>
    <t>RU_002</t>
  </si>
  <si>
    <t>Interceptor</t>
  </si>
  <si>
    <t>1R</t>
  </si>
  <si>
    <t xml:space="preserve">&lt;u&gt;Vehicle&lt;/u&gt; &lt;u&gt;Spacecraft&lt;/u&gt;</t>
  </si>
  <si>
    <t xml:space="preserve">&lt;center&gt;&lt;u&gt;Vehicle&lt;/u&gt; (When ~ enters the battlefield, you may choose another asset to attach it to. The combined unit has all effects of both assets, and the highest attack power, health, and ranged status of the two.), &lt;u&gt;Spacecraft&lt;/u&gt; (Space Shuttle can only intercept or be intercepted by assets with spacecraft.)&lt;/center&gt;&lt;p&gt;When ~ enters the battlefield, you may attach a &lt;i&gt;'Prototype Tractor Beam'&lt;/i&gt; you control to it.&lt;/p&gt;</t>
  </si>
  <si>
    <t>RU_003</t>
  </si>
  <si>
    <t xml:space="preserve">Petty Thief</t>
  </si>
  <si>
    <t xml:space="preserve">Human Female Beacon Pirate</t>
  </si>
  <si>
    <t>5</t>
  </si>
  <si>
    <t xml:space="preserve">&lt;u&gt;Once&lt;/u&gt; (As you activate this effect, remove it from this card): put the bottom card of your opponent's deck into your hand.</t>
  </si>
  <si>
    <t>RU_004</t>
  </si>
  <si>
    <t xml:space="preserve">Beacon Loyalist</t>
  </si>
  <si>
    <t xml:space="preserve">Human Beacon Pirate</t>
  </si>
  <si>
    <t>4</t>
  </si>
  <si>
    <t xml:space="preserve">Whenever a combatant an opponent owns comes under your control, until end of turn, pirates you control become 6/6s.</t>
  </si>
  <si>
    <t>RU_005</t>
  </si>
  <si>
    <t xml:space="preserve">Two Weeks Since the Last Haul</t>
  </si>
  <si>
    <t>Latent</t>
  </si>
  <si>
    <t xml:space="preserve">&lt;p&gt;At the beginning of your upkeep, until ~ leaves the battlefield, combatants you control permanently get -1/-1.&lt;/p&gt;</t>
  </si>
  <si>
    <t xml:space="preserve">"11/12/82: Pushing a fortnight since the last ship came in. Stomach has been growling all day, they cut each of our portions again. SO HUNGRY!!!" &lt;p&gt;-- Bunny's Diary&lt;/p&gt;</t>
  </si>
  <si>
    <t>RU_006</t>
  </si>
  <si>
    <t xml:space="preserve">Resourceful Hostage</t>
  </si>
  <si>
    <t xml:space="preserve">Augmented Pirate Beacon Hostage</t>
  </si>
  <si>
    <t xml:space="preserve">Give an opponent ~: Draw 2 cards (this effect can only be activated during your deployment phases.)</t>
  </si>
  <si>
    <t>RU_007</t>
  </si>
  <si>
    <t xml:space="preserve">Exchange Volunteer</t>
  </si>
  <si>
    <t xml:space="preserve">Human Male Pirate Beacon Hostage</t>
  </si>
  <si>
    <t xml:space="preserve">Give an opponent ~: Choose a Pirate that opponent controls; gain control of it (this effect can only be activated during your deployment phases.)</t>
  </si>
  <si>
    <t>RU_008</t>
  </si>
  <si>
    <t xml:space="preserve">Sacrificial Hostage</t>
  </si>
  <si>
    <t xml:space="preserve">Human Pirate Beacon Hostage</t>
  </si>
  <si>
    <t xml:space="preserve">Give an opponent ~: You may choose a card you control; return it to your hand.</t>
  </si>
  <si>
    <t>RC_001</t>
  </si>
  <si>
    <t xml:space="preserve">Beacon Crewwoman</t>
  </si>
  <si>
    <t xml:space="preserve">&lt;center&gt;&lt;u&gt;Armed -- 'Pirate Suit'&lt;/u&gt; (~ enters the battlefield with a transient &lt;i&gt;'Pirate Suit'&lt;/i&gt; attached to it.)&lt;/center&gt;</t>
  </si>
  <si>
    <t>RC_002</t>
  </si>
  <si>
    <t xml:space="preserve">Backstabbing Hostage</t>
  </si>
  <si>
    <t xml:space="preserve">[T], Give an opponent ~: Choose a combatant that opponent controls; until end of turn, it gets -4/-4.</t>
  </si>
  <si>
    <t>RC_003</t>
  </si>
  <si>
    <t xml:space="preserve">Lethal Hostage</t>
  </si>
  <si>
    <t xml:space="preserve">Give an opponent ~: Choose a combatant that opponent controls; it permanently gains &lt;u&gt;bleeding&lt;/u&gt; (At the end of their owner's turn the specified asset permanently loses 1 health.)</t>
  </si>
  <si>
    <t>RC_004</t>
  </si>
  <si>
    <t xml:space="preserve">Daring Hostage</t>
  </si>
  <si>
    <t xml:space="preserve">Give an opponent ~: That opponent chooses 2 cards in their hand; Those cards are put into your hand (if they have less than 2 cards in hand, instead they give you their hand.)</t>
  </si>
  <si>
    <t>RC_005</t>
  </si>
  <si>
    <t xml:space="preserve">Occupational Hazards</t>
  </si>
  <si>
    <t xml:space="preserve">Latent Tragedy</t>
  </si>
  <si>
    <t xml:space="preserve">&lt;p&gt;When you draw ~, put it into play.&lt;/p&gt;&lt;p&gt;When you gain control of ~, &lt;u&gt;forfeit&lt;/u&gt; (Put the specified card into its owner's discard.) a combatant you control.&lt;/p&gt;</t>
  </si>
  <si>
    <t xml:space="preserve">"6/8/82: Char bumped the ship we were trying to capture today a little too hard. The worst part about space is it's so hard to recover the bodies." &lt;p&gt;-- Bunny's Diary.&lt;/p&gt;</t>
  </si>
  <si>
    <t>RC_006</t>
  </si>
  <si>
    <t xml:space="preserve">Beacon Defector</t>
  </si>
  <si>
    <t xml:space="preserve">Whenever a pirate comes under an opponent's control, your commander loses 1 loyalty.</t>
  </si>
  <si>
    <t>RC_007</t>
  </si>
  <si>
    <t xml:space="preserve">Hostage Negotiator</t>
  </si>
  <si>
    <t xml:space="preserve">Augmented Beacon Pirate</t>
  </si>
  <si>
    <t xml:space="preserve">&lt;center&gt;Choose a pirate you control: Give it to an opponent.&lt;/center&gt;</t>
  </si>
  <si>
    <t>RC_008</t>
  </si>
  <si>
    <t xml:space="preserve">Lina's Recruiter</t>
  </si>
  <si>
    <t xml:space="preserve">&lt;center&gt;&lt;u&gt;Brainwash&lt;/u&gt; (Damage dealt by ~ is gained as loyalty.)&lt;/center&gt;</t>
  </si>
  <si>
    <t>RC_009</t>
  </si>
  <si>
    <t>Hinder</t>
  </si>
  <si>
    <t>R</t>
  </si>
  <si>
    <t xml:space="preserve">&lt;center&gt;&lt;u&gt;Response&lt;/u&gt; (You may deploy ~ in response to other cards and effects.)&lt;/center&gt;&lt;p&gt;Choose a player; they discard a card.&lt;/p&gt;</t>
  </si>
  <si>
    <t>RC_010</t>
  </si>
  <si>
    <t xml:space="preserve">Beacon Avenger</t>
  </si>
  <si>
    <t xml:space="preserve">&lt;center&gt;When ~ dies, each player discards a card.&lt;/center&gt;</t>
  </si>
  <si>
    <t>RC_011</t>
  </si>
  <si>
    <t>RC_012</t>
  </si>
  <si>
    <t>R_CMDR_2</t>
  </si>
  <si>
    <t xml:space="preserve">Bing Du Zhe, Unhinged Researcher</t>
  </si>
  <si>
    <t xml:space="preserve">Augmented Female Civilian Scientist</t>
  </si>
  <si>
    <t xml:space="preserve">&lt;center&gt;(Becomes &lt;i&gt;'Frantic Research'&lt;/i&gt; if you already control Bing.)&lt;/center&gt;&lt;p&gt;&lt;b&gt;&lt;i&gt;As Commander&lt;/i&gt; --&lt;/b&gt; At the beginning of your turn, if you have no cards in hand, draw an additional card, then ~@ loses 1 loyalty.&lt;/p&gt;&lt;p&gt;&lt;b&gt;&lt;i&gt;As Asset&lt;/i&gt; --&lt;/b&gt; &lt;u&gt;Forfeit X&lt;/u&gt; (X is the generalized cost of the card to be returned.) non-&lt;u&gt;Transient&lt;/u&gt; assets you control which share a type with an asset of your choice in your discard: Return that asset from your discard to the battlefield, it becomes an Augmented Mutant.&lt;/p&gt;</t>
  </si>
  <si>
    <t xml:space="preserve">"Anything can be put back together! Anything!"</t>
  </si>
  <si>
    <t>R_CMDR_2b</t>
  </si>
  <si>
    <t xml:space="preserve">Frantic Research</t>
  </si>
  <si>
    <t xml:space="preserve">&lt;center&gt;(This effect can only be deployed if you control a renowned asset. Banked energy can't be spent to deploy renowned cards.)&lt;/center&gt;&lt;p&gt;Draw the bottom &lt;u&gt;X&lt;/u&gt; (X is the damage your commander has taken this turn.) cards of your deck.&lt;/p&gt;&lt;p&gt;&lt;u&gt;Personal&lt;/u&gt; (Shuffle &lt;i&gt;'Bing Du Zhe, Unhinged Researcher'&lt;/i&gt; into your deck.)&lt;/p&gt;</t>
  </si>
  <si>
    <t>RR_005</t>
  </si>
  <si>
    <t xml:space="preserve">Rampaging Monstrosity</t>
  </si>
  <si>
    <t xml:space="preserve">Mutant Subject</t>
  </si>
  <si>
    <t xml:space="preserve">&lt;center&gt;(If you obtain another card with the same name as ~, you must choose one to keep and another to send to its owner's discard. Banked energy can't be spent to deploy renowned cards. Becomes &lt;i&gt;'Rampager's Fury'&lt;/i&gt; if you already control ~.)&lt;br/&gt;&lt;u&gt;Permanence&lt;/u&gt;&lt;/center&gt;&lt;p&gt;Whenever ~ attacks it deals 1 damage to each other asset that attacked this turn, then choose a commander to lose &lt;u&gt;X&lt;/u&gt; (X is the damage dealt this way) loyalty.&lt;/p&gt;</t>
  </si>
  <si>
    <t>RR_005b</t>
  </si>
  <si>
    <t xml:space="preserve">Rampager's Fury</t>
  </si>
  <si>
    <t xml:space="preserve">&lt;u&gt;Personal&lt;/u&gt; &lt;u&gt;Response&lt;/u&gt;</t>
  </si>
  <si>
    <t xml:space="preserve">&lt;center&gt;(This effect can only be deployed if you control a renowned asset. Banked energy can't be spent to deploy renowned cards.)&lt;/center&gt;&lt;p&gt;Each asset that attacked this turn permanently gains &lt;u&gt;bleeding&lt;/u&gt; (At the end of their owner's turns the specified assets permanently lose 1 health.)&lt;/p&gt;&lt;p&gt;&lt;u&gt;Personal&lt;/u&gt; (Shuffle &lt;i&gt;'Rampaging Monstrosity'&lt;/i&gt; into your deck.)&lt;/p&gt;</t>
  </si>
  <si>
    <t>RR_006</t>
  </si>
  <si>
    <t xml:space="preserve">Monstrous Experiment</t>
  </si>
  <si>
    <t xml:space="preserve">&lt;u&gt;Discovery&lt;/u&gt; Experiment</t>
  </si>
  <si>
    <t xml:space="preserve">&lt;center&gt;(When ~ enters the battlefield or at the beginning of your turn, progress to the next phase unless the final phase has been reached.)&lt;/center&gt;&lt;p&gt;&lt;b&gt;&lt;i&gt;1)&lt;/i&gt;&lt;/b&gt; Each player &lt;u&gt;forfeits&lt;/u&gt; a combatant.&lt;/p&gt;&lt;p&gt;&lt;b&gt;&lt;i&gt;2)&lt;/i&gt;&lt;/b&gt; Create a &lt;u&gt;transient&lt;/u&gt; &lt;i&gt;'Test Subject'&lt;/i&gt; in your hand.&lt;/p&gt;&lt;p&gt;&lt;b&gt;&lt;i&gt;Final)&lt;/i&gt;&lt;/b&gt; Create a &lt;u&gt;fleeting&lt;/u&gt;, &lt;u&gt;transient&lt;/u&gt; &lt;i&gt;'Mortal Reaction'&lt;/i&gt; in your hand.&lt;/p&gt;</t>
  </si>
  <si>
    <t>RR_007</t>
  </si>
  <si>
    <t xml:space="preserve">Perverted Equilibrium</t>
  </si>
  <si>
    <t xml:space="preserve">Choose a combatant; its attack power and health both permanently become the lower of two. (This is not a continuous effect.)</t>
  </si>
  <si>
    <t xml:space="preserve">"Balanced as all things should be." ~ Anonymous Test Subject </t>
  </si>
  <si>
    <t>RR_008</t>
  </si>
  <si>
    <t xml:space="preserve">Subject Cage</t>
  </si>
  <si>
    <t>Prison</t>
  </si>
  <si>
    <t xml:space="preserve">When ~ enters the battlefield, attach it to a combatant of your choice.&lt;p&gt;The attached combatant can't attack or intercept and has &lt;u&gt;bleeding&lt;/u&gt; (At the end of their owner's turns the specified assets permanently lose 1 health.)&lt;/p&gt;</t>
  </si>
  <si>
    <t>RU_009</t>
  </si>
  <si>
    <t xml:space="preserve">Infect the Strong</t>
  </si>
  <si>
    <t>4RRR</t>
  </si>
  <si>
    <t xml:space="preserve">&lt;p&gt;Each individual combatant permanently gets &lt;u&gt;-X/-X&lt;/u&gt; (X is its attack power.)&lt;/p&gt;&lt;p&gt;Each opponent &lt;u&gt;decays 4&lt;/u&gt; (The specified players put the top 4 cards of their deck into their discard.)&lt;/p&gt;&lt;p&gt;Your commander loses 3 loyalty.&lt;/p&gt;</t>
  </si>
  <si>
    <t>RU_010</t>
  </si>
  <si>
    <t xml:space="preserve">Stockholm Experiment</t>
  </si>
  <si>
    <t>Experiment</t>
  </si>
  <si>
    <t xml:space="preserve">Choose a combatant; it permanently gets -3/-3.&lt;p&gt;Your commander gains 3 loyalty.&lt;/p&gt;</t>
  </si>
  <si>
    <t>RU_011</t>
  </si>
  <si>
    <t xml:space="preserve">Weaponized Disease</t>
  </si>
  <si>
    <t>Bioweapon</t>
  </si>
  <si>
    <t xml:space="preserve">&lt;center&gt;&lt;u&gt;Warrant&lt;/u&gt; (When you deploy ~, shuffle an 'Incarceration' into your deck.)&lt;/center&gt;&lt;p&gt;&lt;u&gt;Forfeit&lt;/u&gt; (Put the specified card into its owner's discard.) ~, [X]: Choose [X]:&lt;ul&gt;Each player's commander loses 3 loyalty.&lt;br/&gt;Each player discards a card in their hand.&lt;br/&gt;Each player &lt;u&gt;forfeits&lt;/u&gt; a generator they control.&lt;br/&gt;Each player &lt;u&gt;forfeits&lt;/u&gt; an asset they control.&lt;/ul&gt;&lt;/p&gt;</t>
  </si>
  <si>
    <t>RU_012</t>
  </si>
  <si>
    <t>Entropy</t>
  </si>
  <si>
    <t>XXR</t>
  </si>
  <si>
    <t xml:space="preserve">Trap &lt;u&gt;Response&lt;/u&gt;</t>
  </si>
  <si>
    <t xml:space="preserve">&lt;p&gt;Choose an opponent, ~ costs [2] less for every card that opponent has drawn this turn.&lt;/p&gt;&lt;p&gt;That opponent &lt;u&gt;decays [X]&lt;/u&gt; (The specified player puts the top X cards of their deck into their discard.)&lt;/p&gt;</t>
  </si>
  <si>
    <t>RU_013</t>
  </si>
  <si>
    <t xml:space="preserve">Infection Carrier</t>
  </si>
  <si>
    <t>RR</t>
  </si>
  <si>
    <t xml:space="preserve">Human Subject</t>
  </si>
  <si>
    <t xml:space="preserve">&lt;u&gt;Once&lt;/u&gt; (As you activate this effect, remove it from this card): each player &lt;u&gt;forfeits&lt;/u&gt; (Put the specified card into its owner's discard.) a combatant they control.</t>
  </si>
  <si>
    <t>RU_014</t>
  </si>
  <si>
    <t xml:space="preserve">Failed Experiment</t>
  </si>
  <si>
    <t xml:space="preserve">Mutant Subject Experiment</t>
  </si>
  <si>
    <t xml:space="preserve">&lt;center&gt;&lt;u&gt;Permanence&lt;/u&gt; (Damage ~ deals permanently reduces the health of the assets which it damages.)&lt;/center&gt;</t>
  </si>
  <si>
    <t>RU_015</t>
  </si>
  <si>
    <t xml:space="preserve">Questionable Intern</t>
  </si>
  <si>
    <t xml:space="preserve">Human Civilian Intern</t>
  </si>
  <si>
    <t xml:space="preserve">&lt;center&gt;&lt;u&gt;Permanence&lt;/u&gt; (Damage ~ deals permanently reduces the health of the assets which it damages.), &lt;u&gt;Quick Hire&lt;/u&gt; (When ~ is hired as a generator, it can exhaust as soon as it is hired.)&lt;/center&gt;&lt;p&gt;[T]: Add [R].&lt;/p&gt;&lt;p&gt;[2][R][R], [T]: Your commander loses &lt;u&gt;X&lt;/u&gt; (X is the number of cards in your hand.) loyalty. Draw a card.&lt;/p&gt;</t>
  </si>
  <si>
    <t>RU_016</t>
  </si>
  <si>
    <t xml:space="preserve">Plague Engineer</t>
  </si>
  <si>
    <t>RRR</t>
  </si>
  <si>
    <t xml:space="preserve">Augmented Male Civilian Scientist</t>
  </si>
  <si>
    <t xml:space="preserve">&lt;center&gt;&lt;u&gt;Permanence&lt;/u&gt; (Damage ~ deals permanently reduces the health of the assets which it damages.), &lt;u&gt;Warrant&lt;/u&gt; (When you deploy ~, shuffle an 'Incarceration' into your deck.)&lt;/center&gt;&lt;p&gt;When ~ enters the battlefield, create a &lt;u&gt;transient&lt;/u&gt; (If it would enter a discard, instead remove it from the game.) &lt;i&gt;'Engineered Plague'&lt;/i&gt; in your hand.&lt;/p&gt;</t>
  </si>
  <si>
    <t>RC_013</t>
  </si>
  <si>
    <t xml:space="preserve">Test Subject</t>
  </si>
  <si>
    <t xml:space="preserve">&lt;center&gt;&lt;u&gt;Retribution&lt;/u&gt; (When you draw ~ as a result of taking damage, you may deploy it without paying its cost.)&lt;/center&gt;&lt;p&gt;At the beginning of your turn, ~ permanently gets +1/+1.&lt;/p&gt;</t>
  </si>
  <si>
    <t>RC_014</t>
  </si>
  <si>
    <t>Reduce</t>
  </si>
  <si>
    <t xml:space="preserve">Each player &lt;u&gt;decays the bottom 5 cards of their deck&lt;/u&gt; (They put the bottom 5 cards of their deck into their discard.)</t>
  </si>
  <si>
    <t>RC_015</t>
  </si>
  <si>
    <t xml:space="preserve">Engineered Plague</t>
  </si>
  <si>
    <t xml:space="preserve">&lt;center&gt;~ costs [1] less to deploy if you didn't go first.&lt;/center&gt;&lt;p&gt;Choose a combatant; until end of turn, it gets &lt;u&gt;-X/-X&lt;/u&gt; (X is 1 plus the number of cards named ~ that have been deployed this game.)&lt;/p&gt;</t>
  </si>
  <si>
    <t>RC_016</t>
  </si>
  <si>
    <t xml:space="preserve">Forced Autoimmune Reaction</t>
  </si>
  <si>
    <t xml:space="preserve">Choose a combatant; until end of turn, it gets &lt;u&gt;-X/-X&lt;/u&gt; (X is its attack power.)</t>
  </si>
  <si>
    <t>RC_017</t>
  </si>
  <si>
    <t xml:space="preserve">Mortal Reaction</t>
  </si>
  <si>
    <t xml:space="preserve">&lt;center&gt;&lt;u&gt;Append to Experiment [R][R]&lt;/u&gt; (As you deploy a card with Experiment you may reveal ~ and pay [R][R]. If you do, add this card's effects as it resolves.)&lt;/center&gt;&lt;p&gt;Choose a combatant, and activate any of its on death effects.&lt;/p&gt;</t>
  </si>
  <si>
    <t>RC_018</t>
  </si>
  <si>
    <t>Adrenochrome</t>
  </si>
  <si>
    <t>Drug</t>
  </si>
  <si>
    <t xml:space="preserve">&lt;u&gt;Forfeit&lt;/u&gt; (Put the specified card into its owner's discard.) ~: Choose an asset; it permanently gets &lt;u&gt;+X/+X&lt;/u&gt; (X is the number of combatants ~ has seen die while it was on the battlefield.)</t>
  </si>
  <si>
    <t>RC_019</t>
  </si>
  <si>
    <t xml:space="preserve">Office Worker</t>
  </si>
  <si>
    <t xml:space="preserve">Human Civilian</t>
  </si>
  <si>
    <t>RC_020</t>
  </si>
  <si>
    <t xml:space="preserve">Prototype Catgirl</t>
  </si>
  <si>
    <t xml:space="preserve">Human Cat Mutant Female Subject</t>
  </si>
  <si>
    <t xml:space="preserve">"How are you doing Mao?" "My head still hurts from all the echos..."</t>
  </si>
  <si>
    <t>RC_021</t>
  </si>
  <si>
    <t xml:space="preserve">Frantic Fury</t>
  </si>
  <si>
    <t>1RY</t>
  </si>
  <si>
    <t>Emotion</t>
  </si>
  <si>
    <t xml:space="preserve">Choose a combatant; for the remainder of the game, at the beginning of your turn, it permanently gets +1/-1.</t>
  </si>
  <si>
    <t>RC_022</t>
  </si>
  <si>
    <t xml:space="preserve">Dumpster Diver</t>
  </si>
  <si>
    <t xml:space="preserve">While you have 10 or more cards in your discard, ~ gets +5/+5</t>
  </si>
  <si>
    <t>RC_023</t>
  </si>
  <si>
    <t>RC_024</t>
  </si>
  <si>
    <t>O_CMDR_1</t>
  </si>
  <si>
    <t xml:space="preserve">Samuel Reid, Political Dissident</t>
  </si>
  <si>
    <t>OOO</t>
  </si>
  <si>
    <t xml:space="preserve">Augmented Male Delta Politician</t>
  </si>
  <si>
    <t xml:space="preserve">&lt;center&gt;(Becomes &lt;i&gt;'Samuel, Falsify their Orders'&lt;/i&gt; if you already control ~.)&lt;br/&gt;&lt;u&gt;Pierce&lt;/u&gt; (~@ deals combat damage greater than the combined health of the assets intercepting it to the commander it is attacking and bypasses armor.), &lt;u&gt;Warrant&lt;/u&gt;&lt;/center&gt;&lt;p&gt;&lt;b&gt;&lt;i&gt;As Commander&lt;/i&gt; --&lt;/b&gt; Whenever an asset enters the battlefield, you may pay [1][O]. If you do it permanently gains &lt;u&gt;pierce&lt;/u&gt;, &lt;u&gt;reckless&lt;/u&gt;, and ranged.&lt;/p&gt;</t>
  </si>
  <si>
    <t xml:space="preserve">"..and like a cancer it must be removed."</t>
  </si>
  <si>
    <t xml:space="preserve">Flavor linked with Quinton Anon</t>
  </si>
  <si>
    <t>O_CMDR_1b</t>
  </si>
  <si>
    <t xml:space="preserve">Samuel, Falsify their Orders</t>
  </si>
  <si>
    <t>3OO</t>
  </si>
  <si>
    <t xml:space="preserve">&lt;center&gt;(This effect can only be deployed if you control a renowned asset. Banked energy can't be spent to deploy renowned cards.)&lt;/center&gt;&lt;p&gt;The player whose turn it is must attack with all of their combatants, if able, this turn.&lt;/p&gt;&lt;p&gt;&lt;u&gt;Personal&lt;/u&gt; (Shuffle &lt;i&gt;'Samuel Reid, Political Dissident'&lt;/i&gt; into your deck.)&lt;/p&gt;</t>
  </si>
  <si>
    <t>OR_001</t>
  </si>
  <si>
    <t xml:space="preserve">Christen Frisk, Delta Commander</t>
  </si>
  <si>
    <t>4OOO</t>
  </si>
  <si>
    <t xml:space="preserve">Augmented Female Delta Operative</t>
  </si>
  <si>
    <t xml:space="preserve">&lt;center&gt;(If you obtain another card with the same name as ~@, you must choose one to keep and another to send to its owner's discard. Banked energy can't be spent to deploy renowned cards. Becomes &lt;i&gt;'Remember the Plan!'&lt;/i&gt; if you already control ~@.)&lt;br/&gt;&lt;u&gt;Reckless&lt;/u&gt; (~@ can't intercept.)&lt;/center&gt;&lt;p&gt;After your opponent attacks, you may attack.&lt;/p&gt;</t>
  </si>
  <si>
    <t>OR_001b</t>
  </si>
  <si>
    <t xml:space="preserve">Remember the Plan!</t>
  </si>
  <si>
    <t>3O</t>
  </si>
  <si>
    <t xml:space="preserve">&lt;center&gt;(This effect can only be deployed if you control a renowned asset. Banked energy can't be spent to deploy renowned cards.)&lt;/center&gt;&lt;p&gt;Refresh all combatants you control.&lt;/p&gt;&lt;p&gt;&lt;u&gt;Personal&lt;/u&gt; (Shuffle &lt;i&gt;'Christen Frisk, Delta Commander'&lt;/i&gt; into your deck.)&lt;/p&gt;</t>
  </si>
  <si>
    <t>OR_002</t>
  </si>
  <si>
    <t xml:space="preserve">Arms Runner</t>
  </si>
  <si>
    <t xml:space="preserve">Augmented Male Civilian Rebel</t>
  </si>
  <si>
    <t xml:space="preserve">&lt;center&gt;&lt;u&gt;Armed -- 'Fully Automatic Assault Rifle'&lt;/u&gt; (~ enters the battlefield with a transient &lt;i&gt;'Fully Automatic Assault Rifle'&lt;/i&gt; attached to it.)&lt;/center&gt;&lt;p&gt;&lt;i&gt;Strength in Numbers&lt;/i&gt; -- Whenever ~ attacks, choose another combatant; that combatant attacks with ~. Until end of turn, that combatant gets +2/+2 and ranged.&lt;/p&gt;&lt;p&gt;If that combatant has &lt;i&gt;Strength in Numbers&lt;/i&gt; its chosen asset gets +2/+2 and ranged as well, repeat this process until there are no more unique combatants.&lt;/p&gt;</t>
  </si>
  <si>
    <t>OR_003</t>
  </si>
  <si>
    <t xml:space="preserve">Tale of Courage</t>
  </si>
  <si>
    <t>XO</t>
  </si>
  <si>
    <t xml:space="preserve">Choose a combatant with &lt;u&gt;generalized cost&lt;/u&gt; (The cost of the card if all typed symbols were replaced with generic numbers. E.x. Tale of Courage has a generalized cost of [1] + [X].) [X] or less; it permanently becomes Renowned.</t>
  </si>
  <si>
    <t>OR_004</t>
  </si>
  <si>
    <t>OU_001</t>
  </si>
  <si>
    <t xml:space="preserve">Inspiring Leadership</t>
  </si>
  <si>
    <t>3OOO</t>
  </si>
  <si>
    <t xml:space="preserve"> </t>
  </si>
  <si>
    <t xml:space="preserve">&lt;center&gt;(This effect can only be deployed if you control a renowned asset. Banked energy can't be spent to deploy renowned cards.)&lt;br/&gt;&lt;u&gt;Append to Combatant [3][O][O][O]&lt;/u&gt; (As you deploy a combatant you may reveal ~ and pay [3][O][O][O]. If you do add this card's effects as it resolves; it loses those effects once it leaves the stack.)&lt;/center&gt;&lt;p&gt;You may activate your commander's As Commander effect (ignoring any costs and timing/occurrence restrictions.)&lt;/p&gt;</t>
  </si>
  <si>
    <t>OU_002</t>
  </si>
  <si>
    <t xml:space="preserve">Flakka Shot</t>
  </si>
  <si>
    <t>O</t>
  </si>
  <si>
    <t xml:space="preserve">&lt;center&gt;&lt;u&gt;Exchange [2]&lt;/u&gt; (Pay [2], Discard ~ from your hand: Draw a card.)&lt;/center&gt;&lt;p&gt;&lt;u&gt;Forfeit&lt;/u&gt; (Put the specified card into its owner's discard.) ~: Choose an asset to permanently get +3/+3 and &lt;u&gt;reckless&lt;/u&gt; (The specified asset can't intercept.)&lt;/p&gt;</t>
  </si>
  <si>
    <t>OU_003</t>
  </si>
  <si>
    <t xml:space="preserve">Banked Favors</t>
  </si>
  <si>
    <t>XXO</t>
  </si>
  <si>
    <t xml:space="preserve">The top [X] cards of your deck permanently cost [Z] (Z is 1 plus the number of combatants that entered the battlefield under your opponent's control this turn.) less.</t>
  </si>
  <si>
    <t>OU_004</t>
  </si>
  <si>
    <t xml:space="preserve">Fickle Loyalist</t>
  </si>
  <si>
    <t xml:space="preserve">Augmented Civilian Rebel</t>
  </si>
  <si>
    <t xml:space="preserve">&lt;center&gt;&lt;u&gt;Subterfuge&lt;/u&gt; (Damage dealt by this card, doesn't cause your opponents to draw cards.)&lt;/center&gt;&lt;p&gt;Whenever ~ is dealt damage, the player who controlled the source of damage gains control of ~.&lt;/p&gt;</t>
  </si>
  <si>
    <t>OU_005</t>
  </si>
  <si>
    <t xml:space="preserve">Political Intern</t>
  </si>
  <si>
    <t>2O</t>
  </si>
  <si>
    <t xml:space="preserve">&lt;center&gt;&lt;u&gt;Subterfuge&lt;/u&gt; (Damage dealt by this card, doesn't cause your opponents to draw cards.), &lt;u&gt;Quick Hire&lt;/u&gt; (When ~ is hired as a generator, it can exhaust as soon as it is hired.)&lt;/center&gt;&lt;p&gt;[T]: Add [O].&lt;/p&gt;&lt;p&gt;[2][O][O], [T]: Swap control of Political Intern and an asset of your choice an opponent controls.&lt;/p&gt;</t>
  </si>
  <si>
    <t>OU_006</t>
  </si>
  <si>
    <t xml:space="preserve">Fugitive on the Run</t>
  </si>
  <si>
    <t>1O</t>
  </si>
  <si>
    <t xml:space="preserve">Human Criminal</t>
  </si>
  <si>
    <t xml:space="preserve">&lt;center&gt;&lt;u&gt;Pierce&lt;/u&gt; (~ deals combat damage greater than the combined health of the assets intercepting it to the commander it is attacking and bypasses armor.), &lt;u&gt;Rush&lt;/u&gt; (~ can attack and intercept as soon as it resolves, but it can't be explicitly exhausted that turn.)&lt;/center&gt;&lt;p&gt;When ~ enters the battlefield, choose an opponent; create 2 &lt;i&gt;'Fellow Officer'&lt;/i&gt;s on the battlefield under their control.&lt;/p&gt;</t>
  </si>
  <si>
    <t>OU_007</t>
  </si>
  <si>
    <t xml:space="preserve">Loyal Supporter</t>
  </si>
  <si>
    <t xml:space="preserve">Human Delta Operative</t>
  </si>
  <si>
    <t xml:space="preserve">&lt;center&gt;&lt;u&gt;Advantageous&lt;/u&gt; (When ~ resolves, draw a card.), &lt;u&gt;Subterfuge&lt;/u&gt; (Damage dealt by this card, doesn't cause your opponents to draw cards.)&lt;/center&gt;&lt;p&gt;&lt;u&gt;Once&lt;/u&gt; (As you activate this effect, remove it from this card): remove the first Tragedy card in your deck from the game.&lt;/p&gt;</t>
  </si>
  <si>
    <t>OU_008</t>
  </si>
  <si>
    <t xml:space="preserve">Communications Blackout</t>
  </si>
  <si>
    <t xml:space="preserve">&lt;center&gt;&lt;u&gt;Response&lt;/u&gt; (You may deploy ~ in response to other cards and effects.)&lt;/center&gt;&lt;p&gt;Until end of turn, whenever a player would draw a card, you may have your commander lose 2 loyalty to prevent that card draw.&lt;/p&gt;</t>
  </si>
  <si>
    <t>OC_001</t>
  </si>
  <si>
    <t xml:space="preserve">Delta Enforcer</t>
  </si>
  <si>
    <t xml:space="preserve">Augmented Delta Operative</t>
  </si>
  <si>
    <t xml:space="preserve">Each time ~ has dealt combat damage to an opponent 3 times, create a &lt;i&gt;'Bullet'&lt;/i&gt; on the battlefield.</t>
  </si>
  <si>
    <t>OC_002</t>
  </si>
  <si>
    <t xml:space="preserve">Reckless Recruit</t>
  </si>
  <si>
    <t xml:space="preserve">Human Delta Recruit</t>
  </si>
  <si>
    <t xml:space="preserve">&lt;center&gt;&lt;u&gt;Reckless&lt;/u&gt; (~ can't intercept.)&lt;/center&gt;</t>
  </si>
  <si>
    <t>OC_003</t>
  </si>
  <si>
    <t xml:space="preserve">Fist Fight</t>
  </si>
  <si>
    <t xml:space="preserve">&lt;center&gt;&lt;u&gt;Retribution&lt;/u&gt; (When you draw ~ as a result of taking damage, you may deploy it without paying its cost.)&lt;/center&gt;&lt;p&gt;Choose 2 combatants to &lt;u&gt;challenge&lt;/u&gt; (The challenged asset must intercept its challenger the next time it's challenger attacks, if able.) each other.&lt;/p&gt;</t>
  </si>
  <si>
    <t>OC_004</t>
  </si>
  <si>
    <t xml:space="preserve">Disgruntled Employee</t>
  </si>
  <si>
    <t xml:space="preserve">Human Civilian Rebel</t>
  </si>
  <si>
    <t xml:space="preserve">&lt;center&gt;&lt;u&gt;Doubt 2&lt;/u&gt; (When you deploy ~, shuffle 2 'Doubt's into your deck.)&lt;/center&gt;&lt;p&gt;Disgruntled Employee enters the battlefield exhausted.&lt;/p&gt;</t>
  </si>
  <si>
    <t>OC_005</t>
  </si>
  <si>
    <t xml:space="preserve">Arm the Mob</t>
  </si>
  <si>
    <t xml:space="preserve">&lt;center&gt;&lt;u&gt;Warrant&lt;/u&gt; (When you deploy ~, shuffle an 'Incarceration' into your deck.)&lt;/center&gt;&lt;p&gt;Choose an asset to permanently gain +1/+1 and &lt;u&gt;mob&lt;/u&gt; (You may assign any number of mob combatants you control to a unit. Any number of your opponent's combatants may intercept these units. You, not your opponent, choose how combat damage is divided among the intercepted and intercepting mob units you control.)&lt;/p&gt;</t>
  </si>
  <si>
    <t>OC_006</t>
  </si>
  <si>
    <t xml:space="preserve">Reword the Memo</t>
  </si>
  <si>
    <t xml:space="preserve">Swap the order of the 2 triggers and/or cards on the stack before this card.</t>
  </si>
  <si>
    <t>OC_007</t>
  </si>
  <si>
    <t xml:space="preserve">Production Layoffs</t>
  </si>
  <si>
    <t xml:space="preserve">&lt;center&gt;&lt;u&gt;Retribution&lt;/u&gt; (When you draw ~ as a result of taking damage, you may deploy it without paying its cost.)&lt;/center&gt;&lt;p&gt;Choose a generator, return it to its owner's hand.&lt;/p&gt;</t>
  </si>
  <si>
    <t xml:space="preserve">"The more layoffs the more dissidents!" &lt;p&gt;-- Samuel&lt;/p&gt;</t>
  </si>
  <si>
    <t>OC_008</t>
  </si>
  <si>
    <t xml:space="preserve">Reckless Assaulter</t>
  </si>
  <si>
    <t xml:space="preserve">Augmented Male Delta Operative</t>
  </si>
  <si>
    <t>OC_009</t>
  </si>
  <si>
    <t>Bouncer</t>
  </si>
  <si>
    <t xml:space="preserve">Augmented Civilian</t>
  </si>
  <si>
    <t>OC_010</t>
  </si>
  <si>
    <t xml:space="preserve">Delta Operative</t>
  </si>
  <si>
    <t>1OO</t>
  </si>
  <si>
    <t>OC_011</t>
  </si>
  <si>
    <t>OC_012</t>
  </si>
  <si>
    <t>O_CMDR_2</t>
  </si>
  <si>
    <t xml:space="preserve">Sara Anthony, Master of Disguise</t>
  </si>
  <si>
    <t xml:space="preserve">&lt;center&gt;(Becomes &lt;i&gt;'Sara's Quest'&lt;/i&gt; if you already control ~.)&lt;br/&gt;&lt;u&gt;Warrant&lt;/u&gt;&lt;/center&gt;&lt;p&gt;&lt;b&gt;&lt;i&gt;As Commander&lt;/i&gt; --&lt;/b&gt; Once each game, at the beginning of one of your turns, you may choose a combatant; transform it into a copy of another combatant with an equal or lesser &lt;u&gt;generalized cost&lt;/u&gt;.&lt;/p&gt;&lt;p&gt;&lt;b&gt;&lt;i&gt;As Asset&lt;/i&gt; --&lt;/b&gt; Sara Anthony may enter the battlefield as a copy of another combatant of your choice.&lt;/p&gt;</t>
  </si>
  <si>
    <t xml:space="preserve">"I lost my best friend and my face looking for the truth of what happened to my father.. I won't lose any1 else."</t>
  </si>
  <si>
    <t xml:space="preserve">Flavor linked with Cyber Criminal</t>
  </si>
  <si>
    <t>O_CMDR_2b</t>
  </si>
  <si>
    <t xml:space="preserve">Sara's Quest</t>
  </si>
  <si>
    <t>2OO</t>
  </si>
  <si>
    <t xml:space="preserve">&lt;center&gt;(This effect can only be deployed if you control a renowned asset. Banked energy can't be spent to deploy renowned cards.)&lt;/center&gt;&lt;p&gt;Search your deck for a card, put a copy of it into your hand, then shuffle your deck.&lt;/p&gt;&lt;p&gt;&lt;u&gt;Personal&lt;/u&gt; (Shuffle &lt;i&gt;'Sara Anthony, Master of Disguise'&lt;/i&gt; into your deck.)&lt;/p&gt;</t>
  </si>
  <si>
    <t xml:space="preserve">"..Fortunately I was young enough for them not to rewrite my memory too; but not young enough to forget! I will find my father and fix him." &lt;p&gt;-- Sara Anthony&lt;/p&gt;</t>
  </si>
  <si>
    <t>OR_005</t>
  </si>
  <si>
    <t>Ambush</t>
  </si>
  <si>
    <t xml:space="preserve">&lt;p&gt;Choose a combatant in your hand with &lt;u&gt;generalized cost&lt;/u&gt; (The cost of the card if all typed symbols were replaced with generic numbers. E.x. Delta Operative has a generalized cost of [2].) [X] or less; put it into play intercepting an attacking combatant of your choice an opponent controls.&lt;/p&gt;</t>
  </si>
  <si>
    <t>OR_006</t>
  </si>
  <si>
    <t xml:space="preserve">Lurking Operative</t>
  </si>
  <si>
    <t>OO</t>
  </si>
  <si>
    <t xml:space="preserve">Human Delta Operative &lt;u&gt;Response&lt;/u&gt;</t>
  </si>
  <si>
    <t xml:space="preserve">&lt;center&gt;&lt;u&gt;Response&lt;/u&gt; (~ can be deployed during response phases.), &lt;u&gt;Subterfuge&lt;/u&gt; (Damage dealt by this card, doesn't cause your opponents to draw cards.)&lt;/center&gt;&lt;p&gt;~ can intercept as soon as it is deployed.&lt;/p&gt;</t>
  </si>
  <si>
    <t>OR_007</t>
  </si>
  <si>
    <t xml:space="preserve">Project Delta</t>
  </si>
  <si>
    <t>XXOO</t>
  </si>
  <si>
    <t xml:space="preserve">&lt;u&gt;Discovery&lt;/u&gt; Delta Cause</t>
  </si>
  <si>
    <t xml:space="preserve">&lt;center&gt;(When ~ enters the battlefield or at the beginning of your turn, progress to the next phase unless the final phase has been reached.)&lt;/center&gt;&lt;p&gt;&lt;b&gt;&lt;i&gt;1-3)&lt;/i&gt;&lt;/b&gt; Choose a card in your hand with &lt;u&gt;generalized cost&lt;/u&gt; [X] or less; deploy it without paying its cost.&lt;/p&gt;&lt;p&gt;&lt;b&gt;&lt;i&gt;Final)&lt;/i&gt;&lt;/b&gt; If an opponent would lose the game, each opponent loses the game.&lt;/p&gt;</t>
  </si>
  <si>
    <t>OR_008</t>
  </si>
  <si>
    <t xml:space="preserve">Incendiary Grenade</t>
  </si>
  <si>
    <t>Grenade</t>
  </si>
  <si>
    <t xml:space="preserve">&lt;p&gt;When ~ enters the battlefield, you may attach it to a combatant.&lt;br/&gt;&lt;u&gt;Throw&lt;/u&gt;, &lt;u&gt;Forfeit&lt;/u&gt; (Put the specified card into its owner's discard.) ~: Choose a generator; it gains "At the end of your turn, you must choose a combatant you control; this card deals 1 damage to that combatant for each time it has been chosen by this effect. You may &lt;u&gt;Forfeit&lt;/u&gt; this generator to end this effect."&lt;/p&gt;&lt;p&gt;&lt;u&gt;Forfeit&lt;/u&gt; ~: Add [O][O][O].&lt;/p&gt;</t>
  </si>
  <si>
    <t>OU_009</t>
  </si>
  <si>
    <t xml:space="preserve">Prison Break</t>
  </si>
  <si>
    <t xml:space="preserve">Choose a police or prison card; its owner &lt;u&gt;forfeits&lt;/u&gt; (Put the specified card into its owner's discard.) it.</t>
  </si>
  <si>
    <t>OU_010</t>
  </si>
  <si>
    <t xml:space="preserve">Pain Amplifier</t>
  </si>
  <si>
    <t xml:space="preserve">&lt;u&gt;Forfeit&lt;/u&gt; (Put the specified card into its owner's discard.) ~: Choose a combatant; it permanently takes double damage.</t>
  </si>
  <si>
    <t>OU_011</t>
  </si>
  <si>
    <t xml:space="preserve">Stolen Helicopter</t>
  </si>
  <si>
    <t xml:space="preserve">&lt;u&gt;Vehicle&lt;/u&gt; Delta Helicopter</t>
  </si>
  <si>
    <t xml:space="preserve">&lt;center&gt;&lt;u&gt;Flying&lt;/u&gt; (~ can only be intercepted by assets with ranged or flying. If ~ is intercepting you may choose another combatant or commander you control, that is not also intercepting, to take the damage instead.), &lt;u&gt;Vehicle&lt;/u&gt;&lt;/center&gt;&lt;p&gt;&lt;i&gt;Strength in Numbers&lt;/i&gt; -- Whenever ~ attacks, choose another combatant, that combatant attacks with ~, until end of turn that combatant gains &lt;u&gt;brutal&lt;/u&gt; and +1/+0.&lt;/p&gt;</t>
  </si>
  <si>
    <t>OU_012</t>
  </si>
  <si>
    <t xml:space="preserve">Delta Infiltrator</t>
  </si>
  <si>
    <t xml:space="preserve">&lt;center&gt;&lt;u&gt;Subterfuge&lt;/u&gt; (Damage dealt by this card, doesn't cause your opponents to draw cards.)&lt;/center&gt;&lt;p&gt;&lt;i&gt;Strength in Numbers&lt;/i&gt; -- Whenever ~ attacks, choose another combatant, that combatant attacks with ~, until end of turn that combatant gains &lt;u&gt;shield&lt;/u&gt; (Prevent the next instance of damage that asset would receive. Once damage has been prevented this way, that asset loses shield.)&lt;/p&gt;</t>
  </si>
  <si>
    <t>OU_013</t>
  </si>
  <si>
    <t xml:space="preserve">Lost and Found</t>
  </si>
  <si>
    <t xml:space="preserve">Draw 2 cards, then put 2 cards from your hand on top of your deck.</t>
  </si>
  <si>
    <t>OU_014</t>
  </si>
  <si>
    <t>Wirecutter</t>
  </si>
  <si>
    <t>Orange</t>
  </si>
  <si>
    <t xml:space="preserve">&lt;center&gt;Players can't draw cards during combat.&lt;/center&gt;</t>
  </si>
  <si>
    <t>OU_015</t>
  </si>
  <si>
    <t xml:space="preserve">Stealth Suit</t>
  </si>
  <si>
    <t xml:space="preserve">Equipment Delta Suit</t>
  </si>
  <si>
    <t xml:space="preserve">&lt;center&gt;&lt;u&gt;Tradeable&lt;/u&gt; (Once each turn, you may pay ~'s cost, if you do choose another asset; attach ~ to it.)&lt;/center&gt;&lt;p&gt;The attached asset has &lt;u&gt;response&lt;/u&gt; (The attached card can be deployed during response phases.) and &lt;u&gt;subterfuge&lt;/u&gt; (Damage dealt by the attached card, doesn't cause your opponents to draw cards.)&lt;/p&gt;&lt;p&gt;You may attach ~ to assets in your hand, even if ~ is in your hand.&lt;/p&gt;</t>
  </si>
  <si>
    <t>OU_016</t>
  </si>
  <si>
    <t xml:space="preserve">Oppressive Foreman</t>
  </si>
  <si>
    <t xml:space="preserve">When ~ enters the battlefield, create a &lt;i&gt;'Disgruntled Employee'&lt;/i&gt; on the battlefield.</t>
  </si>
  <si>
    <t>OC_013</t>
  </si>
  <si>
    <t xml:space="preserve">Delta Spy</t>
  </si>
  <si>
    <t>OC_014</t>
  </si>
  <si>
    <t>Sabotage</t>
  </si>
  <si>
    <t xml:space="preserve">&lt;center&gt;&lt;u&gt;Warrant&lt;/u&gt; (When you deploy ~, shuffle an 'Incarceration' into your deck.)&lt;/center&gt;&lt;p&gt;~ costs [1] less to deploy if you didn't go first.&lt;/p&gt;&lt;p&gt;Choose a generator; its controller &lt;u&gt;forfeites&lt;/u&gt; (Put the specified generator into its owner's discard.) it.&lt;/p&gt;</t>
  </si>
  <si>
    <t>OC_015</t>
  </si>
  <si>
    <t>Restrain</t>
  </si>
  <si>
    <t xml:space="preserve">&lt;center&gt;&lt;u&gt;Advantageous&lt;/u&gt; (When ~ resolves, draw a card.)&lt;/center&gt;&lt;p&gt;Choose a combatant, until end of turn, it has an attack power of 0.&lt;/p&gt;</t>
  </si>
  <si>
    <t>OC_016</t>
  </si>
  <si>
    <t xml:space="preserve">Sara's Assistant</t>
  </si>
  <si>
    <t xml:space="preserve">Human Male Delta Operative</t>
  </si>
  <si>
    <t xml:space="preserve">&lt;center&gt;&lt;u&gt;Reckless&lt;/u&gt; (~ can't intercept.), &lt;u&gt;Subterfuge&lt;/u&gt; (Damage dealt by this card, doesn't cause your opponents to draw cards.)&lt;/center&gt;</t>
  </si>
  <si>
    <t>OC_017</t>
  </si>
  <si>
    <t xml:space="preserve">Under the Radar</t>
  </si>
  <si>
    <t xml:space="preserve">Choose an asset; until end of turn, it gains &lt;u&gt;subterfuge&lt;/u&gt; (Damage dealt by that card, doesn't cause your opponents to draw cards.)</t>
  </si>
  <si>
    <t>OC_018</t>
  </si>
  <si>
    <t xml:space="preserve">Rookie Operative</t>
  </si>
  <si>
    <t xml:space="preserve">&lt;center&gt;&lt;u&gt;Subterfuge&lt;/u&gt; (Damage dealt by this card, doesn't cause your opponents to draw cards.)&lt;/center&gt;</t>
  </si>
  <si>
    <t>OC_019</t>
  </si>
  <si>
    <t xml:space="preserve">Big-Gunned Operative</t>
  </si>
  <si>
    <t xml:space="preserve">&lt;center&gt;&lt;u&gt;Pierce&lt;/u&gt; (~ deals combat damage greater than the combined health of the assets intercepting it to the commander it is attacking and bypasses armor.)&lt;/center&gt;</t>
  </si>
  <si>
    <t>OC_020</t>
  </si>
  <si>
    <t xml:space="preserve">Assault Operative</t>
  </si>
  <si>
    <t xml:space="preserve">&lt;center&gt;&lt;u&gt;Prepare 3 -- [O]&lt;/u&gt; (Pay [O] and put ~ into your deck third from the top. When you would draw ~, instead deploy it without paying its cost.), &lt;u&gt;Armed -- 'Fully Automatic Assault Rifle'&lt;/u&gt; (~ enters the battlefield with a transient &lt;i&gt;'Fully Automatic Assault Rifle'&lt;/i&gt; attached to it.)&lt;/center&gt;&lt;p&gt;~ must be prepared.&lt;/p&gt;</t>
  </si>
  <si>
    <t>OC_021</t>
  </si>
  <si>
    <t xml:space="preserve">Bribed Guard</t>
  </si>
  <si>
    <t xml:space="preserve">Human Guard Prison Rebel</t>
  </si>
  <si>
    <t xml:space="preserve">&lt;center&gt;&lt;u&gt;Doubt 1&lt;/u&gt; (When you deploy ~, shuffle a 'Doubt' into your deck.)&lt;/center&gt;&lt;p&gt;&lt;u&gt;Once&lt;/u&gt; (As you activate this effect, remove it from this card): Choose a police or prison card; its owner &lt;u&gt;forfeits&lt;/u&gt; (Put the specified card into its owner's discard.) it.&lt;/p&gt;</t>
  </si>
  <si>
    <t>OC_022</t>
  </si>
  <si>
    <t>OC_023</t>
  </si>
  <si>
    <t>OC_024</t>
  </si>
  <si>
    <t>Y_CMDR_1</t>
  </si>
  <si>
    <t xml:space="preserve">Martha Briggs, Spacecorp Commander</t>
  </si>
  <si>
    <t>3YY</t>
  </si>
  <si>
    <t xml:space="preserve">Augmented Female Spacecorp Leader</t>
  </si>
  <si>
    <t xml:space="preserve">&lt;center&gt;(Becomes &lt;i&gt;'Brigg's Remorse'&lt;/i&gt; if you already control ~@.)&lt;/center&gt;&lt;p&gt;&lt;b&gt;&lt;i&gt;As Commander&lt;/i&gt; --&lt;/b&gt; Assets you control have &lt;u&gt;airdrop&lt;/u&gt; and "When this asset would normally finish deploying, you have a 75% chance to &lt;u&gt;forfeit&lt;/u&gt; it unless you pay a quarter of its cost (separated by type, rounded up.)"&lt;/p&gt;&lt;p&gt;&lt;b&gt;&lt;i&gt;As Asset&lt;/i&gt; --&lt;/b&gt; After interceptors are declared, if ~@ would do combat damage to a commander, you may put a combatant onto the battlefield attacking. If you do, &lt;u&gt;forfeit&lt;/u&gt; it at the end of your turn.&lt;/p&gt;</t>
  </si>
  <si>
    <t>Y_CMDR_1b</t>
  </si>
  <si>
    <t xml:space="preserve">Brigg's Remorse</t>
  </si>
  <si>
    <t>XY</t>
  </si>
  <si>
    <t xml:space="preserve">&lt;p&gt;~ deals [X] to an asset or player of your choice.&lt;/p&gt;&lt;p&gt;You may deploy an asset in your hand with &lt;u&gt;generalized cost&lt;/u&gt; (The cost of the card if all typed symbols were replaced with generic numbers. E.x. ~ has a generalized cost of [1].) [X] or less without paying its cost.&lt;/p&gt;&lt;p&gt;&lt;u&gt;Personal&lt;/u&gt; (Shuffle &lt;i&gt;'Martha Briggs, Spacecorp Commander'&lt;/i&gt; into your deck.)&lt;/p&gt;</t>
  </si>
  <si>
    <t xml:space="preserve">"There are people in my past who I would rather forget." &lt;p&gt;-- Martha Briggs&lt;/p&gt;</t>
  </si>
  <si>
    <t>YR_001</t>
  </si>
  <si>
    <t xml:space="preserve">Gunpoint Diplomacy</t>
  </si>
  <si>
    <t>1Y</t>
  </si>
  <si>
    <t xml:space="preserve">&lt;center&gt;&lt;u&gt;Retribution&lt;/u&gt; (When you draw ~ as a result of taking damage, you may deploy it without paying its cost.)&lt;/center&gt;&lt;p&gt;Choose an opponent, then draw 3 cards, unless their commander takes 6 damage.&lt;/p&gt;</t>
  </si>
  <si>
    <t xml:space="preserve">That's right.. hand over the box of rations nice and slow. Capt. Lux doesn't want any trouble. &lt;p&gt;-- Supply Transport S.O.S.&lt;/p&gt;</t>
  </si>
  <si>
    <t>YR_002</t>
  </si>
  <si>
    <t xml:space="preserve">All or Nothing</t>
  </si>
  <si>
    <t>1YY</t>
  </si>
  <si>
    <t xml:space="preserve">Search your deck for a card, put it into your hand, then shuffle your deck and discard a card at random.</t>
  </si>
  <si>
    <t>YR_003</t>
  </si>
  <si>
    <t xml:space="preserve">Asteroid Demolition</t>
  </si>
  <si>
    <t>XXYY</t>
  </si>
  <si>
    <t xml:space="preserve">&lt;center&gt;(This effect can only be deployed if you control a renowned asset. Banked energy can't be spent to deploy renowned cards.)&lt;/center&gt;&lt;p&gt;Choose [X] permanents at random to be &lt;u&gt;forfeited&lt;/u&gt; (Put the specified assets into their owners' discards.) by their owners.&lt;/p&gt;</t>
  </si>
  <si>
    <t xml:space="preserve">"Cracking open an asteroid is always terrifying, nobody knows where the pieces will wind up." &lt;p&gt;-- Spacecorp Miner.&lt;/p&gt;</t>
  </si>
  <si>
    <t>YR_004</t>
  </si>
  <si>
    <t xml:space="preserve">Double or Nothing</t>
  </si>
  <si>
    <t>_</t>
  </si>
  <si>
    <t>Yellow</t>
  </si>
  <si>
    <t xml:space="preserve">&lt;center&gt;([_] must be paid with all of the energy you can currently access.)&lt;/center&gt;&lt;p&gt;Choose an opponent, you and that opponent each reveal the top card of your decks, then if your card has a higher &lt;u&gt;generalized cost&lt;/u&gt; add double the energy spent to deploy ~ to your pool.&lt;/p&gt;&lt;p&gt;You and that opponent each draw a card.&lt;/p&gt;</t>
  </si>
  <si>
    <t>YU_001</t>
  </si>
  <si>
    <t xml:space="preserve">Lexi Xenos, Spacecorp Recruit</t>
  </si>
  <si>
    <t xml:space="preserve">Human Female Spacecorp Cadet</t>
  </si>
  <si>
    <t xml:space="preserve">&lt;center&gt;(If you obtain another card with the same name as ~, you must choose one to keep and another to send to its owner's discard. Banked energy can't be spent to deploy renowned cards. Becomes &lt;i&gt;'Lexi's Last Day'&lt;/i&gt; if you already control ~.)&lt;/center&gt;&lt;p&gt;When ~@ leaves the battlefield, you may search your deck for up to 4 cards, remove them from the game.&lt;/p&gt;</t>
  </si>
  <si>
    <t xml:space="preserve">"They drugged me and then bragged about it to half the ship! And your not going to do a damn thing about it?"</t>
  </si>
  <si>
    <t>YU_001b</t>
  </si>
  <si>
    <t xml:space="preserve">Lexi's Last Day</t>
  </si>
  <si>
    <t>Y</t>
  </si>
  <si>
    <t xml:space="preserve">&lt;center&gt;(This effect can only be deployed if you control a renowned asset. Banked energy can't be spent to deploy renowned cards.)&lt;/center&gt;&lt;p&gt;Choose a combatant you control to deal &lt;u&gt;X&lt;/u&gt; (X is its attack power) damage to itself and another combatant of your choice.&lt;/p&gt;&lt;p&gt;&lt;u&gt;Personal&lt;/u&gt; (Shuffle &lt;i&gt;'Lexi Xenos, Spacecorp Recruit'&lt;/i&gt; into your deck.)&lt;/p&gt;</t>
  </si>
  <si>
    <t xml:space="preserve">"Come on newbie, with that attitude you won't last a week up here. Alcohol's the only thing that keeps you sane out in the void." </t>
  </si>
  <si>
    <t>YU_002</t>
  </si>
  <si>
    <t xml:space="preserve">Take Fate in Your Own Hands</t>
  </si>
  <si>
    <t>2YY</t>
  </si>
  <si>
    <t>7</t>
  </si>
  <si>
    <t xml:space="preserve">&lt;center&gt;(This effect can only be deployed if you control a renowned asset. Banked energy can't be spent to deploy renowned cards.)&lt;br/&gt;&lt;u&gt;Retribution&lt;/u&gt; (When you draw ~ as a result of taking damage, you may deploy it without paying its cost.)&lt;/center&gt;&lt;p&gt;Until end of turn, you choose the results of random chance.&lt;/p&gt;</t>
  </si>
  <si>
    <t xml:space="preserve">"12/25/79: 1 of the new recruits is planning a revolution. She wants to get some of us deployed to an asteroid where we can cause as much havoc as possible. She already has 1 of the top engineers on her side, I don't quite understand her plan but she seems to be in a position to pull it off." &lt;p&gt;-- Bunny's Diary&lt;/p&gt;</t>
  </si>
  <si>
    <t>YU_003</t>
  </si>
  <si>
    <t>Intercept</t>
  </si>
  <si>
    <t>3Y</t>
  </si>
  <si>
    <t xml:space="preserve">Choose a card on the stack, until end of turn, gain control of it. It permanently gains &lt;u&gt;airdrop&lt;/u&gt; (It enters the battlefield as soon as it resolves.)</t>
  </si>
  <si>
    <t xml:space="preserve">.. Especially since so many of our supply transports have been going missing. &lt;p&gt;— ?, SpaceCorp Logistics Manager.&lt;/p&gt;</t>
  </si>
  <si>
    <t>YU_004</t>
  </si>
  <si>
    <t xml:space="preserve">SpaceCorp Miner</t>
  </si>
  <si>
    <t xml:space="preserve">Miner Spacecorp &lt;u&gt;Spacecraft&lt;/u&gt;</t>
  </si>
  <si>
    <t xml:space="preserve">&lt;center&gt;&lt;u&gt;Spacecraft&lt;/u&gt; (~ can only intercept or be intercepted by assets with spacecraft.)&lt;/center&gt;&lt;p&gt;[2][Y][Y], 50% chance of discarding a card at random: Until end of turn, assets you control get +2/+0.&lt;/p&gt;</t>
  </si>
  <si>
    <t xml:space="preserve">Even the most skilled miners have a tendency to get themselves hurt. Out here that's doubly dangerous.</t>
  </si>
  <si>
    <t>YU_005</t>
  </si>
  <si>
    <t xml:space="preserve">Set Fire to the Engine Room</t>
  </si>
  <si>
    <t xml:space="preserve">&lt;p&gt;Choose a generator, its owner &lt;u&gt;forfeits&lt;/u&gt; (Put the specified card into its owner's discard.) it.&lt;/p&gt;&lt;p&gt;There is a 50% chance you &lt;u&gt;forfeit&lt;/u&gt; (Put the specified card into its owner's discard.) a random generator you control.&lt;/p&gt;</t>
  </si>
  <si>
    <t>YU_006</t>
  </si>
  <si>
    <t xml:space="preserve">Crash Landing</t>
  </si>
  <si>
    <t>2Y</t>
  </si>
  <si>
    <t xml:space="preserve">&lt;p&gt;All assets loose &lt;u&gt;unbreakable&lt;/u&gt; and &lt;u&gt;unkillable&lt;/u&gt; until end of turn.&lt;/p&gt;&lt;p&gt;&lt;u&gt;Forfeit&lt;/u&gt; (Put the specified card into its owner's discard.) an asset you control: Choose an asset or player, ~ deals X (X is the discarded asset's attack power.) damage to it.&lt;/p&gt;</t>
  </si>
  <si>
    <t xml:space="preserve">..those on the ground fear what happens when it impacts.</t>
  </si>
  <si>
    <t>YU_007</t>
  </si>
  <si>
    <t xml:space="preserve">Anti-Pirate Guards</t>
  </si>
  <si>
    <t xml:space="preserve">Augmented Spacecorp Guard</t>
  </si>
  <si>
    <t xml:space="preserve">&lt;center&gt;&lt;u&gt;Retribution&lt;/u&gt; (When you draw ~ as a result of taking damage, you may deploy it without paying its cost.)&lt;/center&gt;&lt;p&gt;Whenever an asset you own comes under the control of another player, ~ deals 3 damage to their commander.&lt;/p&gt;</t>
  </si>
  <si>
    <t xml:space="preserve">"Find the traitors and bring them to JUSTICE!" &lt;p&gt;-- Martha Briggs&lt;/p&gt;</t>
  </si>
  <si>
    <t>YU_008</t>
  </si>
  <si>
    <t xml:space="preserve">Mining Fleet</t>
  </si>
  <si>
    <t xml:space="preserve">Miner Spacecorp &lt;u&gt;Spacecraft&lt;/u&gt; &lt;u&gt;Mob&lt;/u&gt;</t>
  </si>
  <si>
    <t xml:space="preserve">&lt;center&gt;&lt;u&gt;Mob&lt;/u&gt; (You may assign any number of mob combatants you control to a unit. Any number of your opponent's combatants may intercept these units. You, not your opponent, choose how combat damage is divided among the intercepted and intercepting mob units you control.), &lt;u&gt;Spacecraft&lt;/u&gt; (~ can only intercept or be intercepted by assets with spacecraft.)&lt;/center&gt;&lt;p&gt;A deck may have any number of ~ in it.&lt;/p&gt;&lt;p&gt;~ can only mob with other spacecraft.&lt;/p&gt;</t>
  </si>
  <si>
    <t>YC_001</t>
  </si>
  <si>
    <t xml:space="preserve">Spacecorp Cadet</t>
  </si>
  <si>
    <t xml:space="preserve">Human Spacecorp Cadet</t>
  </si>
  <si>
    <t xml:space="preserve">"I am ready to bravery throw myself into the final frontier"</t>
  </si>
  <si>
    <t>YC_002</t>
  </si>
  <si>
    <t>Rewire</t>
  </si>
  <si>
    <t xml:space="preserve">&lt;p&gt;Choose a card on the stack and replace all references to players and their commander on that card with the player of your choice.&lt;/p&gt;</t>
  </si>
  <si>
    <t>YC_003</t>
  </si>
  <si>
    <t xml:space="preserve">Risky Repairs</t>
  </si>
  <si>
    <t xml:space="preserve">Draw 2 cards, then discard a card at random.</t>
  </si>
  <si>
    <t xml:space="preserve">"Making repairs out here is a harrowing experience." &lt;p&gt;-- SpaceCorp Engineer&lt;/p&gt;</t>
  </si>
  <si>
    <t>YC_004</t>
  </si>
  <si>
    <t xml:space="preserve">Failed Reentry</t>
  </si>
  <si>
    <t xml:space="preserve">&lt;p&gt;Choose an asset or card in your hand, until end of turn, it gets +4/+0 and &lt;u&gt;airdrop&lt;/u&gt; (It enters the battlefield as soon as it resolves.).&lt;/p&gt;&lt;p&gt;&lt;u&gt;Forfeit&lt;/u&gt; (Put the specified card into its owner's discard.) it at the end of the turn.&lt;/p&gt;</t>
  </si>
  <si>
    <t xml:space="preserve">A pilot's worst fear is burning up on reentry..</t>
  </si>
  <si>
    <t>YC_005</t>
  </si>
  <si>
    <t xml:space="preserve">Transfer Supplies</t>
  </si>
  <si>
    <t xml:space="preserve">&lt;center&gt;&lt;u&gt;Exchange [2]&lt;/u&gt; (Pay [2], Discard ~ from your hand: Draw a card.)&lt;/center&gt;&lt;p&gt;Choose an opponent, swap the top card of your deck with the top card of their deck.&lt;/p&gt;</t>
  </si>
  <si>
    <t xml:space="preserve">"Resupply missions to the further outposts are unsettling, they take ages and failure could mean the deaths of our own.."</t>
  </si>
  <si>
    <t>YC_006</t>
  </si>
  <si>
    <t xml:space="preserve">Doomed Convoy</t>
  </si>
  <si>
    <t xml:space="preserve">Spacecorp &lt;u&gt;Spacecraft&lt;/u&gt;</t>
  </si>
  <si>
    <t xml:space="preserve">&lt;center&gt;&lt;u&gt;Spacecraft&lt;/u&gt; (~ can only intercept or be intercepted by assets with spacecraft.)&lt;/center&gt;&lt;p&gt;When ~ resolves, there is a 25% chance to give it to a random opponent.&lt;/p&gt;</t>
  </si>
  <si>
    <t xml:space="preserve">"Another transfer ship has vanished."</t>
  </si>
  <si>
    <t>YC_007</t>
  </si>
  <si>
    <t xml:space="preserve">Ground Deployment Drop Ship</t>
  </si>
  <si>
    <t xml:space="preserve">Spacecorp &lt;u&gt;Vehicle&lt;/u&gt;</t>
  </si>
  <si>
    <t xml:space="preserve">&lt;center&gt;&lt;u&gt;Airdrop&lt;/u&gt; (It enters the battlefield as soon as it resolves.), &lt;u&gt;Flying&lt;/u&gt; (~ can only be intercepted by assets with ranged or flying. If ~ is intercepting you may choose another combatant or commander you control, that is not also intercepting, to take the damage instead.), &lt;u&gt;Vehicle&lt;/u&gt;&lt;/center&gt;</t>
  </si>
  <si>
    <t>YC_008</t>
  </si>
  <si>
    <t xml:space="preserve">Miner with Unstable Rockets</t>
  </si>
  <si>
    <t xml:space="preserve">&lt;center&gt;&lt;u&gt;Spacecraft&lt;/u&gt; (~ can only intercept or be intercepted by assets with spacecraft.)&lt;/center&gt;&lt;p&gt;Whenever ~ attacks, you have a 50% chance to discard a card at random.&lt;/p&gt;</t>
  </si>
  <si>
    <t>YC_009</t>
  </si>
  <si>
    <t xml:space="preserve">Reprobate Mechanic</t>
  </si>
  <si>
    <t xml:space="preserve">Human Male Spacecorp Engineer</t>
  </si>
  <si>
    <t xml:space="preserve">If an opponent's commander would lose loyalty outside of combat, it loses that much loyalty +1 instead.</t>
  </si>
  <si>
    <t>YC_010</t>
  </si>
  <si>
    <t xml:space="preserve">Prototype Exosuit</t>
  </si>
  <si>
    <t xml:space="preserve">Equipment Exosuit Spacecorp</t>
  </si>
  <si>
    <t xml:space="preserve">&lt;center&gt;&lt;u&gt;Tradeable&lt;/u&gt; (Once each turn, you may pay ~'s cost, if you do choose another asset; attach ~ to it.)&lt;/center&gt;&lt;p&gt;Whenever ~ or the attached combatant attacks, there is a 50% chance for its attack power and health to be modified +3/-3 and a 50% chance for them to modified -3/+3.&lt;/p&gt;</t>
  </si>
  <si>
    <t>YC_011</t>
  </si>
  <si>
    <t xml:space="preserve">Space Tether</t>
  </si>
  <si>
    <t xml:space="preserve">&lt;center&gt;&lt;u&gt;Spacecraft&lt;/u&gt; (~ can only intercept or be intercepted by assets with spacecraft.)&lt;/center&gt;&lt;p&gt;[T]: Choose a card on the battlefield, set it aside then return it to the battlefield at the end of the turn.&lt;/p&gt;</t>
  </si>
  <si>
    <t xml:space="preserve">Tethers act as batteries for kinetic energy. Spending some to slingshot ships to the far corners of the solar system; gaining some when an incoming ship arrives.</t>
  </si>
  <si>
    <t>YC_012</t>
  </si>
  <si>
    <t>EDV</t>
  </si>
  <si>
    <t xml:space="preserve">Spacecorp &lt;u&gt;Response&lt;/u&gt; &lt;u&gt;Vehicle&lt;/u&gt;</t>
  </si>
  <si>
    <t xml:space="preserve">&lt;center&gt;&lt;u&gt;Airdrop&lt;/u&gt; (It enters the battlefield as soon as it resolves.), &lt;u&gt;Response&lt;/u&gt; (~ can be deployed during response phases.), &lt;u&gt;Vehicle&lt;/u&gt;&lt;/center&gt;</t>
  </si>
  <si>
    <t>Y_CMDR_2</t>
  </si>
  <si>
    <t xml:space="preserve">Quinton Anon, Voice of the People</t>
  </si>
  <si>
    <t xml:space="preserve">Augmented Male Leader</t>
  </si>
  <si>
    <t xml:space="preserve">&lt;center&gt;(Becomes &lt;i&gt;'Quinton's Call to Action'&lt;/i&gt; if you already control ~@.)&lt;br/&gt;&lt;u&gt;Warrant&lt;/u&gt;&lt;/center&gt;&lt;p&gt;&lt;b&gt;&lt;i&gt;As Commander&lt;/i&gt; --&lt;/b&gt; Combatants you control have &lt;u&gt;mob&lt;/u&gt; (You may assign any number of mob combatants you control to a unit. Any number of your opponent's combatants may intercept these units. You, not your opponent, choose how combat damage is divided among the intercepted and intercepting mob units you control.)&lt;/p&gt;&lt;p&gt;&lt;b&gt;&lt;i&gt;As Asset&lt;/i&gt; --&lt;/b&gt; Mobs you control have +2/+2.&lt;/p&gt;</t>
  </si>
  <si>
    <t xml:space="preserve">"The corruption oozing through our society flows from the top like a cancer.."</t>
  </si>
  <si>
    <t xml:space="preserve">Flavor linked with Samuel Reid</t>
  </si>
  <si>
    <t>Y_CMDR_2b</t>
  </si>
  <si>
    <t xml:space="preserve">Quinton's Call to Action</t>
  </si>
  <si>
    <t xml:space="preserve">&lt;center&gt;(This effect can only be deployed if you control a renowned asset. Banked energy can't be spent to deploy renowned cards.)&lt;/center&gt;&lt;p&gt;Choose a combatant, it permanently gets +1/+1 and brutal.&lt;/p&gt;&lt;p&gt;&lt;u&gt;Personal&lt;/u&gt; (Shuffle &lt;i&gt;'Quinton Anon, The Inciter of Violence'&lt;/i&gt; into your deck.&lt;/p&gt;</t>
  </si>
  <si>
    <t>YR_005</t>
  </si>
  <si>
    <t xml:space="preserve">Marina Arigotti, Femme Fatale</t>
  </si>
  <si>
    <t xml:space="preserve">Human Female Civilian Prostitute Operative</t>
  </si>
  <si>
    <t xml:space="preserve">&lt;center&gt;(If you obtain another card with the same name as ~, you must choose one to keep and another to send to its owner's discard. Banked energy can't be spent to deploy renowned cards. Becomes &lt;i&gt;'Marina's Charm'&lt;/i&gt; if you already control ~.)&lt;/center&gt;&lt;p&gt;When ~@ enters the battlefield, choose a human; until she leaves the battlefield, gain control of it.&lt;/p&gt;</t>
  </si>
  <si>
    <t xml:space="preserve">"There is no weapon more dangerous than a beautiful woman in a room full of powerful men. Well boys.. I'm here."</t>
  </si>
  <si>
    <t>YR_005b</t>
  </si>
  <si>
    <t xml:space="preserve">Marina's Charm</t>
  </si>
  <si>
    <t xml:space="preserve">&lt;center&gt;(This effect can only be deployed if you control a renowned asset. Banked energy can't be spent to deploy renowned cards.)&lt;/center&gt;&lt;p&gt;Choose a combatant an opponent controls, until end of turn, gain control of it.&lt;/p&gt;&lt;p&gt;&lt;u&gt;Personal&lt;/u&gt; (Shuffle &lt;i&gt;'Marina Arrigotti, Femme Fatale'&lt;/i&gt; into your deck.)&lt;/p&gt;</t>
  </si>
  <si>
    <t>YR_006</t>
  </si>
  <si>
    <t xml:space="preserve">Violent Mob</t>
  </si>
  <si>
    <t xml:space="preserve">Augmented &lt;u&gt;Mob&lt;/u&gt; Propagandist</t>
  </si>
  <si>
    <t xml:space="preserve">&lt;center&gt;&lt;u&gt;Mob&lt;/u&gt; (You may assign any number of mob combatants you control to a unit. Any number of your opponent's combatants may intercept these units. You, not your opponent, choose how combat damage is divided among the intercepted and intercepting mob units you control.)&lt;/center&gt;&lt;p&gt;If an opponent's commander would lose loyalty outside of combat, they loose twice as much loyalty instead.&lt;/p&gt;</t>
  </si>
  <si>
    <t>YR_007</t>
  </si>
  <si>
    <t xml:space="preserve">Eccentric Celebrity</t>
  </si>
  <si>
    <t>YYY</t>
  </si>
  <si>
    <t xml:space="preserve">Augmented Civilian Leader</t>
  </si>
  <si>
    <t xml:space="preserve">When ~ enters the battlefield, create a &lt;u&gt;transient&lt;/u&gt; copy of a random Emotion ([Y]) effect in your deck with &lt;u&gt;generalized cost&lt;/u&gt; (The cost of the card if all typed symbols were replaced with generic numbers. E.x. ~ has a generalized cost of [3].) [4] or less in your hand.</t>
  </si>
  <si>
    <t>YR_008</t>
  </si>
  <si>
    <t>Grief</t>
  </si>
  <si>
    <t>1YYY</t>
  </si>
  <si>
    <t xml:space="preserve">Emotion &lt;u&gt;Response&lt;/u&gt;</t>
  </si>
  <si>
    <t xml:space="preserve">&lt;center&gt;(This effect can only be deployed if you control a renowned asset. Banked energy can't be spent to deploy renowned cards.)&lt;/center&gt;&lt;p&gt;Each asset on the battlefield has a 50% chance of being &lt;u&gt;forfeited&lt;/u&gt; (Their owners put the specified assets into their discards.)&lt;/p&gt;</t>
  </si>
  <si>
    <t>YU_009</t>
  </si>
  <si>
    <t xml:space="preserve">Armed Mob</t>
  </si>
  <si>
    <t xml:space="preserve">Human Civilian &lt;u&gt;Mob&lt;/u&gt;</t>
  </si>
  <si>
    <t xml:space="preserve">&lt;u&gt;Mob&lt;/u&gt; (You may assign any number of mob combatants you control to a unit. Any number of your opponent's combatants may intercept these units. You, not your opponent, choose how combat damage is divided among the intercepted and intercepting mob units you control.)</t>
  </si>
  <si>
    <t>YU_010</t>
  </si>
  <si>
    <t xml:space="preserve">Growing Mob</t>
  </si>
  <si>
    <t>YY</t>
  </si>
  <si>
    <t xml:space="preserve">&lt;center&gt;&lt;u&gt;Mob&lt;/u&gt; (You may assign any number of mob combatants you control to a unit. Any number of your opponent's combatants may intercept these units. You, not your opponent, choose how combat damage is divided among the intercepted and intercepting mob units you control.)&lt;/center&gt;&lt;p&gt;~'s attack power is equal to twice the number of cards named ~ that have been deployed this game.&lt;/p&gt;</t>
  </si>
  <si>
    <t>*</t>
  </si>
  <si>
    <t>YU_011</t>
  </si>
  <si>
    <t xml:space="preserve">Angry Customer</t>
  </si>
  <si>
    <t xml:space="preserve">Human Female Civilian</t>
  </si>
  <si>
    <t xml:space="preserve">&lt;center&gt;&lt;u&gt;Retribution&lt;/u&gt; (When you draw ~ as a result of taking damage, you may deploy it without paying its cost.)&lt;/center&gt;&lt;p&gt;When ~ enters the battlefield, it deals 3 damage to an asset or player of your choice.&lt;/p&gt;</t>
  </si>
  <si>
    <t>YU_012</t>
  </si>
  <si>
    <t>Charm</t>
  </si>
  <si>
    <t xml:space="preserve">&lt;center&gt;&lt;u&gt;Append to Combatant [3][Y][Y]&lt;/u&gt; (As you deploy a combatant you may reveal ~ and pay [3][Y][Y]. If you do add this card's effects as it resolves; it loses those effects once it leaves the stack.)&lt;/center&gt;&lt;p&gt;Choose a combatant an opponent controls; until end of turn, gain control of it.&lt;/p&gt;</t>
  </si>
  <si>
    <t>YU_013</t>
  </si>
  <si>
    <t xml:space="preserve">Stacked Deck</t>
  </si>
  <si>
    <t xml:space="preserve">&lt;center&gt;&lt;u&gt;Advantageous&lt;/u&gt; (When ~ resolves, draw a card.)&lt;/center&gt;&lt;p&gt;Choose a card on the stack, replace it with the top card of its controller's deck.&lt;/p&gt;</t>
  </si>
  <si>
    <t xml:space="preserve">"I've never lost a fair game.."</t>
  </si>
  <si>
    <t>YU_014</t>
  </si>
  <si>
    <t>Mulligan</t>
  </si>
  <si>
    <t xml:space="preserve">&lt;p&gt;If an opponent searched their deck for a card this turn, ~ costs [Y] less.&lt;/p&gt;&lt;p&gt;Each player shuffles their hand into their deck, then draws that many cards plus one.&lt;/p&gt;</t>
  </si>
  <si>
    <t>YU_015</t>
  </si>
  <si>
    <t xml:space="preserve">Wrist Mounted Flamethrower</t>
  </si>
  <si>
    <t>Flamethrower</t>
  </si>
  <si>
    <t xml:space="preserve">&lt;p&gt;When ~ enters the battlefield, attach it to a combatant of your choice.&lt;/p&gt;&lt;p&gt;The attached combatant has &lt;u&gt;+X/+0&lt;/u&gt; (X is the number of combatants that have attacked this turn.) and &lt;u&gt;sluggish&lt;/u&gt; (The specified asset deals combat damage after assets without sluggish.)&lt;/p&gt;</t>
  </si>
  <si>
    <t>YU_016</t>
  </si>
  <si>
    <t>Happiness</t>
  </si>
  <si>
    <t xml:space="preserve">Each combatant on the battlefield has the lower of its attack power or healthed permanently increased to match the greater. (This is not a continuous effect.)</t>
  </si>
  <si>
    <t>YC_013</t>
  </si>
  <si>
    <t xml:space="preserve">Angry Mob</t>
  </si>
  <si>
    <t xml:space="preserve">&lt;center&gt;&lt;u&gt;Mob&lt;/u&gt; (You may assign any number of mob combatants you control to a unit. Any number of your opponent's combatants may intercept these units. You, not your opponent, choose how combat damage is divided among the intercepted and intercepting mob units you control.)&lt;/center&gt;</t>
  </si>
  <si>
    <t>YC_014</t>
  </si>
  <si>
    <t xml:space="preserve">Ruined Plan</t>
  </si>
  <si>
    <t xml:space="preserve">&lt;center&gt;&lt;u&gt;Advantageous&lt;/u&gt; (When ~ resolves, draw a card.)&lt;/center&gt;&lt;p&gt;Choose a player, ~ deals 2 damage to their commander for each card they control on the stack.&lt;/p&gt;</t>
  </si>
  <si>
    <t>YC_015</t>
  </si>
  <si>
    <t>Fear</t>
  </si>
  <si>
    <t>2_</t>
  </si>
  <si>
    <t>Multicolor</t>
  </si>
  <si>
    <t xml:space="preserve">&lt;center&gt;([_] can be paid with [R] or [Y].)&lt;/center&gt;&lt;p&gt;Until end of turn, each combatant on the battlefield gains &lt;u&gt;terrified&lt;/u&gt; (They lose all effects.)&lt;/p&gt;</t>
  </si>
  <si>
    <t xml:space="preserve">Red Yellow</t>
  </si>
  <si>
    <t>YC_016</t>
  </si>
  <si>
    <t>Anger</t>
  </si>
  <si>
    <t xml:space="preserve">&lt;center&gt;&lt;u&gt;Retribution&lt;/u&gt; (When you draw ~ as a result of taking damage, you may deploy it without paying its cost.)&lt;/center&gt;&lt;p&gt;~ deals 3 damage to each combatant on the battlefield.&lt;/p&gt;</t>
  </si>
  <si>
    <t>YC_017</t>
  </si>
  <si>
    <t xml:space="preserve">School Boy</t>
  </si>
  <si>
    <t xml:space="preserve">Human Male Civilian Student</t>
  </si>
  <si>
    <t>YC_018</t>
  </si>
  <si>
    <t xml:space="preserve">Upset Citizenry</t>
  </si>
  <si>
    <t>YC_019</t>
  </si>
  <si>
    <t xml:space="preserve">Unpeaceful Protestors</t>
  </si>
  <si>
    <t xml:space="preserve">&lt;center&gt;&lt;u&gt;Mob&lt;/u&gt; (You may assign any number of mob combatants you control to a unit. Any number of your opponent's combatants may intercept these units. You, not your opponent, choose how combat damage is divided among the intercepted and intercepting mob units you control.)&lt;/center&gt;&lt;p&gt;When ~ enters the battlefield, they deal 5 damage to each player who doesn't control a Mob.&lt;/p&gt;</t>
  </si>
  <si>
    <t>YC_020</t>
  </si>
  <si>
    <t>YC_021</t>
  </si>
  <si>
    <t>YC_022</t>
  </si>
  <si>
    <t>YC_023</t>
  </si>
  <si>
    <t>YC_024</t>
  </si>
  <si>
    <t>G_CMDR_1</t>
  </si>
  <si>
    <t xml:space="preserve">L.O.K.I.O, Logistics AI</t>
  </si>
  <si>
    <t>2GG</t>
  </si>
  <si>
    <t xml:space="preserve">AI Advisor</t>
  </si>
  <si>
    <t xml:space="preserve">&lt;center&gt;(Becomes &lt;i&gt;'Peace in Troubled Times'&lt;/i&gt; if you already control ~.)&lt;/center&gt;&lt;p&gt;&lt;b&gt;&lt;i&gt;As Commander&lt;/i&gt; --&lt;/b&gt; Whenever you have the option to hire a card as a generator, you may instead return a generator you control to your hand.&lt;/p&gt;&lt;p&gt;&lt;b&gt;&lt;i&gt;As Asset&lt;/i&gt; --&lt;/b&gt; Each time ~@ has seen you hire 2 cards as generators, draw a card.&lt;/p&gt;&lt;p&gt;If ~@ is inside a vehicle it gains, "[T]: Choose an asset; exhaust or refresh it."&lt;/p&gt;</t>
  </si>
  <si>
    <t xml:space="preserve">"Delivery success rates have declined by 13%."</t>
  </si>
  <si>
    <t>G_CMDR_1b</t>
  </si>
  <si>
    <t xml:space="preserve">Peace in Troubled Times</t>
  </si>
  <si>
    <t>3GG</t>
  </si>
  <si>
    <t xml:space="preserve">&lt;center&gt;(This effect can only be deployed if you control a renowned asset. Banked energy can't be spent to deploy renowned cards.)&lt;/center&gt;&lt;p&gt;Each commander's loyalty is doubled, up to their starting loyalty.&lt;/p&gt;&lt;p&gt;Prevent all damage that would be dealt this turn.&lt;/p&gt;&lt;p&gt;&lt;u&gt;Personal&lt;/u&gt; (Shuffle &lt;i&gt;'L.O.K.I.O, Logistics AI'&lt;/i&gt; into your deck.)&lt;/p&gt;</t>
  </si>
  <si>
    <t xml:space="preserve">"Intake rates at all our hospitals have increased by 32% on average over the past week."</t>
  </si>
  <si>
    <t>GR_001</t>
  </si>
  <si>
    <t>Reuse</t>
  </si>
  <si>
    <t>2G</t>
  </si>
  <si>
    <t xml:space="preserve">&lt;center&gt;Choose a card in your discard; return it to your hand.&lt;/center&gt;</t>
  </si>
  <si>
    <t>GR_002</t>
  </si>
  <si>
    <t>Preorder</t>
  </si>
  <si>
    <t>1GG</t>
  </si>
  <si>
    <t xml:space="preserve">Search your deck for a card, then shuffle your deck and put that card third from the top.</t>
  </si>
  <si>
    <t>GR_003</t>
  </si>
  <si>
    <t xml:space="preserve">High-Explosive Grenade</t>
  </si>
  <si>
    <t>GG</t>
  </si>
  <si>
    <t xml:space="preserve">&lt;p&gt;When ~ enters the battlefield, you may attach it to a combatant.&lt;/p&gt;&lt;p&gt;&lt;u&gt;Throw&lt;/u&gt; (Activate this ability only if attached to a combatant.),&lt;u&gt;Forfeit&lt;/u&gt; (Put the specified card into its owner's discard.) ~: Choose a combatant; Return that combatant to its owner's hand it permanently gains -2/-2. ~ deals 2 damage to each combatant adjacent to the chosen combatant.&lt;/p&gt;&lt;p&gt;&lt;u&gt;Forfeit&lt;/u&gt; ~: Add [G][G][G][G].&lt;/p&gt;</t>
  </si>
  <si>
    <t>GR_004</t>
  </si>
  <si>
    <t xml:space="preserve">Life-Support Equipment</t>
  </si>
  <si>
    <t>Equipment</t>
  </si>
  <si>
    <t xml:space="preserve">&lt;p&gt;When ~ enters the battlefield, attach it to a Human combatant on the battlefield or in a discard. ~ isn't removed when the combatant enters a discard.&lt;/p&gt;&lt;p&gt;Whenever the attached combatant is in a discard, return it to the battlefield with "this card can't attack or intercept" and "at the beginning of your turn, remove this card from the game unless you pay its cost."&lt;/p&gt;</t>
  </si>
  <si>
    <t>GU_001</t>
  </si>
  <si>
    <t xml:space="preserve">Bottom of the Bin</t>
  </si>
  <si>
    <t xml:space="preserve">&lt;center&gt;Put the bottom 2 cards of your deck into your hand.&lt;/center&gt;</t>
  </si>
  <si>
    <t xml:space="preserve">"The best compost is always on the bottom." &lt;p&gt;-- Keith, Tower Gardener&lt;/p&gt;</t>
  </si>
  <si>
    <t>GU_002</t>
  </si>
  <si>
    <t>Forklift</t>
  </si>
  <si>
    <t>3G</t>
  </si>
  <si>
    <t>&lt;u&gt;Vehicle&lt;/u&gt;</t>
  </si>
  <si>
    <t xml:space="preserve">&lt;center&gt;&lt;u&gt;Vehicle&lt;/u&gt; (When ~ enters the battlefield, you may choose another asset to attach it to. The combined unit has all effects of both assets, and the highest attack power, health, and ranged status of the two.)&lt;/center&gt;</t>
  </si>
  <si>
    <t>GU_003</t>
  </si>
  <si>
    <t xml:space="preserve">Agricultural Intern</t>
  </si>
  <si>
    <t xml:space="preserve">&lt;center&gt;&lt;u&gt;Quick Hire&lt;/u&gt;&lt;/center&gt;&lt;p&gt;[T]: Add [G] to your energy bank.&lt;/p&gt;&lt;p&gt;[3], [T]: Add 1 energy of each type a generator you control could produce to your energy bank.&lt;/p&gt;&lt;p&gt;&lt;u&gt;Twice&lt;/u&gt; (As you activate this effect for the second time, remove it from this card), [T]: Choose a combatant; &lt;u&gt;fully Heal&lt;/u&gt; (Remove all attack power and health reductions, and all damage from the specified asset.) it.&lt;/p&gt;</t>
  </si>
  <si>
    <t>GU_004</t>
  </si>
  <si>
    <t xml:space="preserve">Abundant Harvest</t>
  </si>
  <si>
    <t xml:space="preserve">&lt;center&gt;~ costs [1] less to deploy if you didn't go first.&lt;/center&gt;&lt;p&gt;Create an &lt;i&gt;'Overflowing Garden'&lt;/i&gt; on the battlefield.&lt;/p&gt;</t>
  </si>
  <si>
    <t>GU_004b</t>
  </si>
  <si>
    <t xml:space="preserve">Overflowing Garden</t>
  </si>
  <si>
    <t>Green</t>
  </si>
  <si>
    <t>Generator</t>
  </si>
  <si>
    <t>Vitality</t>
  </si>
  <si>
    <t xml:space="preserve">&lt;center&gt;(Generators are not assets or effects. You may only play ~ whenever you have the option to hire generator instead of hiring any other card as a generator.)&lt;/center&gt;&lt;p&gt;[T]: Add [G].&lt;/p&gt;&lt;p&gt;&lt;u&gt;Forfeit&lt;/u&gt; (Put the specified card into its owner's discard.) ~: Your commander gains &lt;u&gt;X&lt;/u&gt; (X is the number of cards named ~ on the battlefield) loyalty.&lt;/p&gt;</t>
  </si>
  <si>
    <t>GU_005</t>
  </si>
  <si>
    <t xml:space="preserve">Construction Drone</t>
  </si>
  <si>
    <t xml:space="preserve">drone Technician</t>
  </si>
  <si>
    <t xml:space="preserve">&lt;center&gt;&lt;u&gt;Armor 3&lt;/u&gt; (Damage dealt to ~ by any source is reduced by 3. Whenever damage is reduced this way ~ loses that much armor.)&lt;/center&gt;&lt;p&gt;&lt;u&gt;Once&lt;/u&gt; (As you activate this effect, remove it from this card): search your deck for a vitality ([G]) card, you may hire it as a generator, then shuffle your deck.&lt;/p&gt;</t>
  </si>
  <si>
    <t xml:space="preserve">Many robotic device assist in the construction process.</t>
  </si>
  <si>
    <t>GU_006</t>
  </si>
  <si>
    <t xml:space="preserve">exaLink Defense Drone</t>
  </si>
  <si>
    <t xml:space="preserve">drone Guard</t>
  </si>
  <si>
    <t xml:space="preserve">~ enters the battlefield with your choice of &lt;u&gt;armor 3&lt;/u&gt; (Damage dealt to ~ by any source is reduced by 3. Whenever damage is reduced this way ~ loses that much armor.) or &lt;u&gt;shield&lt;/u&gt; (Prevent the next instance of damage ~ would receive. Once damage has been prevented this way, ~ loses Shield.)</t>
  </si>
  <si>
    <t>GU_007</t>
  </si>
  <si>
    <t xml:space="preserve">Medical Storehouse</t>
  </si>
  <si>
    <t xml:space="preserve">Gen. Asset</t>
  </si>
  <si>
    <t>Building</t>
  </si>
  <si>
    <t xml:space="preserve">&lt;center&gt;(You may play ~ whenever you have the option to hire a generator, instead of hiring any other card as a generator, or you may deploy it as an asset.)&lt;br/&gt;&lt;u&gt;Barricade&lt;/u&gt; (~ can't attack; however, intercepting doesn't exhaust it.), &lt;u&gt;Armor 2&lt;/u&gt;&lt;/center&gt;&lt;p&gt;[T], [X][G] (X is the number of times this effect has been activated.): Your commander gains [X] loyalty. This effect may be activated by any player.&lt;/p&gt;</t>
  </si>
  <si>
    <t xml:space="preserve">The logistics of storage and distribution are the cornerstones of civilization.</t>
  </si>
  <si>
    <t>GU_008</t>
  </si>
  <si>
    <t xml:space="preserve">Lunar Garden</t>
  </si>
  <si>
    <t>1G</t>
  </si>
  <si>
    <t xml:space="preserve">&lt;p&gt;When ~ enters the battlefield, choose an energy type a generator you control could produce, then attach it to a generator.&lt;/p&gt;&lt;p&gt;The attached generator can be exhausted for the chosen energy type.&lt;/p&gt;</t>
  </si>
  <si>
    <t>GC_001</t>
  </si>
  <si>
    <t xml:space="preserve">Warehouse Guard</t>
  </si>
  <si>
    <t xml:space="preserve">Human Civilian Guard</t>
  </si>
  <si>
    <t>GC_002</t>
  </si>
  <si>
    <t xml:space="preserve">Generator Guard</t>
  </si>
  <si>
    <t xml:space="preserve">&lt;center&gt;&lt;u&gt;Armor 3&lt;/u&gt; (Damage dealt to them by any source is reduced by 3. Whenever damage is reduced this way ~ loses that much armor.)&lt;/center&gt;&lt;p&gt;Generators you control have &lt;u&gt;unbreakable&lt;/u&gt; (They can't be forfeited.)&lt;/p&gt;</t>
  </si>
  <si>
    <t>GC_003</t>
  </si>
  <si>
    <t xml:space="preserve">Resource Reclamation</t>
  </si>
  <si>
    <t xml:space="preserve">&lt;center&gt;Choose a generator; return it to its owner's hand.&lt;/center&gt;</t>
  </si>
  <si>
    <t>GC_004</t>
  </si>
  <si>
    <t xml:space="preserve">Tree Planter</t>
  </si>
  <si>
    <t>G</t>
  </si>
  <si>
    <t>Squirrel</t>
  </si>
  <si>
    <t xml:space="preserve">&lt;center&gt;[T]: Add [G].&lt;/center&gt;</t>
  </si>
  <si>
    <t xml:space="preserve">"When a squirrel buries its acorns for the winter, it often forgets about a few. Those buried acorns then grow into massive trees which drop acorns for future squirrels to forget about."</t>
  </si>
  <si>
    <t>GC_005</t>
  </si>
  <si>
    <t xml:space="preserve">School Girl</t>
  </si>
  <si>
    <t xml:space="preserve">Human Female Civilian Student</t>
  </si>
  <si>
    <t>GC_006</t>
  </si>
  <si>
    <t xml:space="preserve">Security Guard</t>
  </si>
  <si>
    <t xml:space="preserve">Human Guard</t>
  </si>
  <si>
    <t>GC_007</t>
  </si>
  <si>
    <t>Farmer</t>
  </si>
  <si>
    <t xml:space="preserve">Human Civilian Farmer</t>
  </si>
  <si>
    <t xml:space="preserve">&lt;u&gt;Twice&lt;/u&gt; (As you activate this effect for the second time, remove it from this card): Add 1 energy of any type to your bank.</t>
  </si>
  <si>
    <t>GC_008</t>
  </si>
  <si>
    <t xml:space="preserve">Trained First Aid Personnel</t>
  </si>
  <si>
    <t xml:space="preserve">Human Civilian Medic</t>
  </si>
  <si>
    <t xml:space="preserve">[T]: Choose a combatant; &lt;u&gt;Heal it 3&lt;/u&gt; (If the specified asset has attack power or health reductions, reduce them by 3 [reducing permanent reductions first]. Otherwise remove 3 damage from it.)</t>
  </si>
  <si>
    <t>"</t>
  </si>
  <si>
    <t>GC_009</t>
  </si>
  <si>
    <t xml:space="preserve">Public Relations Expert</t>
  </si>
  <si>
    <t xml:space="preserve">Human Civilian Propagandist</t>
  </si>
  <si>
    <t xml:space="preserve">&lt;center&gt;When ~ enters the battlefield, your commander gains 6 loyalty.&lt;/center&gt;</t>
  </si>
  <si>
    <t>GC_010</t>
  </si>
  <si>
    <t xml:space="preserve">Venerated Elder</t>
  </si>
  <si>
    <t xml:space="preserve">&lt;center&gt;&lt;u&gt;Sluggish&lt;/u&gt; (The specified asset deals combat damage after assets without sluggish.)&lt;/center&gt;&lt;p&gt;When ~ dies, each player draws a card.&lt;/p&gt;</t>
  </si>
  <si>
    <t>GC_011</t>
  </si>
  <si>
    <t xml:space="preserve">Medical Expenses</t>
  </si>
  <si>
    <t>Tax</t>
  </si>
  <si>
    <t xml:space="preserve">&lt;center&gt;&lt;u&gt;Tax&lt;/u&gt; (When ~ resolves, if it is not a copy, copy it for each other card and effect on the stack.)&lt;/center&gt;&lt;p&gt;Your commander gains 4 loyalty.&lt;/p&gt;</t>
  </si>
  <si>
    <t>GC_012</t>
  </si>
  <si>
    <t>G_CMDR_2</t>
  </si>
  <si>
    <t xml:space="preserve">Capt. Stonewall, PMC Commander</t>
  </si>
  <si>
    <t>2GGG</t>
  </si>
  <si>
    <t xml:space="preserve">Human Male Mercenary Leader</t>
  </si>
  <si>
    <t xml:space="preserve">&lt;center&gt;(Becomes &lt;i&gt;'Grant a Promotion'&lt;/i&gt; if you already control ~.)&lt;/center&gt;&lt;p&gt;&lt;b&gt;&lt;i&gt;As Commander&lt;/i&gt; --&lt;/b&gt; Whenever an asset enters the battlefield under your control, you may pay [G]. If you do, it permanently gains &lt;u&gt;armor X&lt;/u&gt; (X is 1/4 the number of generators you control, rounded up.)&lt;/p&gt;&lt;p&gt;&lt;b&gt;&lt;i&gt;As Asset&lt;/i&gt; --&lt;/b&gt; &lt;u&gt;Armor 5&lt;/u&gt;&lt;/p&gt;&lt;p&gt;[G], [T]: Choose a combatant; its armor or armor is repaired to its original maximum.&lt;/p&gt;</t>
  </si>
  <si>
    <t>G_CMDR_2b</t>
  </si>
  <si>
    <t xml:space="preserve">Grant a Promotion</t>
  </si>
  <si>
    <t xml:space="preserve">&lt;center&gt;(This effect can only be deployed if you control a renowned asset. Banked energy can't be spent to deploy renowned cards.)&lt;/center&gt;&lt;p&gt;Choose an asset; it permanently gets +3/+0 and &lt;u&gt;armor 3&lt;/u&gt; (Damage dealt to the specified asset by any source is reduced by 3. Whenever damage is reduced this way ~ loses that much armor.)&lt;/p&gt;&lt;p&gt;&lt;u&gt;Personal&lt;/u&gt; (Shuffle &lt;i&gt;'Capt. Stonewall, PMC Commander'&lt;/i&gt; into your deck.)&lt;/p&gt;</t>
  </si>
  <si>
    <t>GR_005</t>
  </si>
  <si>
    <t xml:space="preserve">Daring Recruit</t>
  </si>
  <si>
    <t xml:space="preserve">Augmented Mercenary </t>
  </si>
  <si>
    <t xml:space="preserve">&lt;center&gt;&lt;u&gt;Sluggish&lt;/u&gt; (The specified asset deals combat damage after assets without sluggish.)&lt;/center&gt;&lt;p&gt;Whenever a combatant enters the battlefield, ~ may &lt;u&gt;challenge&lt;/u&gt; (The challenged asset must intercept its challenger the next time it's challenger attacks, if able.) that asset.&lt;/p&gt;</t>
  </si>
  <si>
    <t>GR_006</t>
  </si>
  <si>
    <t xml:space="preserve">Welcoming Veteran</t>
  </si>
  <si>
    <t>Formation</t>
  </si>
  <si>
    <t xml:space="preserve">Human Mercenary </t>
  </si>
  <si>
    <t xml:space="preserve">&lt;center&gt;&lt;u&gt;Armor 2&lt;/u&gt; (Damage dealt to ~ by any source is reduced by 2. Whenever damage is reduced this way ~ loses that much armor.), &lt;u&gt;Formation&lt;/u&gt;&lt;/center&gt;&lt;p&gt;Whenever you hire a card as a generator, add 1 energy of any type a generator you control could produce to your energy bank.&lt;/p&gt;</t>
  </si>
  <si>
    <t>GR_007</t>
  </si>
  <si>
    <t xml:space="preserve">Aircraft Carrier</t>
  </si>
  <si>
    <t>4GGGG</t>
  </si>
  <si>
    <t xml:space="preserve">&lt;u&gt;Vehicle&lt;/u&gt; Boat</t>
  </si>
  <si>
    <t xml:space="preserve">&lt;center&gt;&lt;u&gt;Armor 16&lt;/u&gt; (Damage dealt to ~ by any source is reduced by 16. Whenever damage is reduced this way ~ loses that much armor.)&lt;/center&gt;&lt;p&gt;Each time ~ has attacked twice, create a &lt;u&gt;transient&lt;/u&gt; (If it would enter a discard, instead remove it from the game.) &lt;i&gt;'Fighter Jet'&lt;/i&gt; on the battlefield.&lt;/p&gt;</t>
  </si>
  <si>
    <t>GR_008</t>
  </si>
  <si>
    <t>GU_009</t>
  </si>
  <si>
    <t xml:space="preserve">Battlefield Promotion</t>
  </si>
  <si>
    <t xml:space="preserve">&lt;u&gt;Response&lt;/u&gt; Mercenary </t>
  </si>
  <si>
    <t xml:space="preserve">Choose an asset; it permanently gets +2/+0 and &lt;u&gt;armor 2&lt;/u&gt; (Damage dealt to the chosen asset by any source is reduced by 2. Whenever damage is reduced this way ~ loses that much armor.)</t>
  </si>
  <si>
    <t>GU_010</t>
  </si>
  <si>
    <t xml:space="preserve">Equipment Upgrades</t>
  </si>
  <si>
    <t xml:space="preserve">&lt;p&gt;Choose an asset; its armor is repaired to its original maximum and then doubled.&lt;/p&gt;</t>
  </si>
  <si>
    <t>GU_011</t>
  </si>
  <si>
    <t xml:space="preserve">Duel in the Barracks</t>
  </si>
  <si>
    <t>Mercenary</t>
  </si>
  <si>
    <t xml:space="preserve">Choose a combatant you control; it &lt;u&gt;challenges&lt;/u&gt; (The challenged asset must intercept its challenger the next time it's challenger attacks, if able.) an asset of your choice you don't control.</t>
  </si>
  <si>
    <t>GU_012</t>
  </si>
  <si>
    <t xml:space="preserve">Hunker Down and Wait for Reinforcements</t>
  </si>
  <si>
    <t>XXG</t>
  </si>
  <si>
    <t xml:space="preserve">&lt;p&gt;If an opponent deployed a non-combatant card this turn, ~ costs [4] less.&lt;/p&gt;&lt;p&gt;Combatants you control gain &lt;u&gt;armor [X]&lt;/u&gt; (Damage dealt to them by any source is reduced by X. Whenever damage is reduced this way ~ loses that much armor.) If [X] is [4] or more you may put an asset from your hand onto the battlefield and refill the ammo of all of your guns.&lt;/p&gt;</t>
  </si>
  <si>
    <t>GU_013</t>
  </si>
  <si>
    <t xml:space="preserve">Cyber Tank</t>
  </si>
  <si>
    <t xml:space="preserve">&lt;u&gt;Vehicle&lt;/u&gt; Tank</t>
  </si>
  <si>
    <t xml:space="preserve">&lt;center&gt;&lt;u&gt;Armor 5&lt;/u&gt;, &lt;u&gt;Formation - Attack Front 5, Back 7&lt;/u&gt; (Cards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 &lt;u&gt;Vehicle&lt;/u&gt;&lt;/center&gt;</t>
  </si>
  <si>
    <t xml:space="preserve">"Musk really hit it out of the park with this one" &lt;p&gt;-- ?&lt;/p&gt;</t>
  </si>
  <si>
    <t>GU_014</t>
  </si>
  <si>
    <t xml:space="preserve">Strike Team Leader</t>
  </si>
  <si>
    <t xml:space="preserve">&lt;center&gt;&lt;u&gt;Formation - Attack Front 3, Back 2&lt;/u&gt; (Cards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units.)&lt;/center&gt;</t>
  </si>
  <si>
    <t>GU_015</t>
  </si>
  <si>
    <t xml:space="preserve">Practiced Disarmament</t>
  </si>
  <si>
    <t xml:space="preserve">Choose an asset attached to a combatant;its owner &lt;u&gt;forfeits&lt;/u&gt; (Put the specified card into its owner's discard.) it.</t>
  </si>
  <si>
    <t>GU_016</t>
  </si>
  <si>
    <t>Supplyman</t>
  </si>
  <si>
    <t xml:space="preserve">Human Mercenary</t>
  </si>
  <si>
    <t xml:space="preserve">&lt;center&gt;&lt;u&gt;Armed -- &lt;i&gt;'Ballistic Pistol'&lt;/i&gt;&lt;/u&gt; (~ enters the battlefield with a transient &lt;i&gt;'Ballistic Pistol'&lt;/i&gt; attached to it.)&lt;/center&gt;&lt;p&gt;When ~ enters the battlefield choose a gun; refill all of its ammo.&lt;/p&gt;</t>
  </si>
  <si>
    <t>GC_013</t>
  </si>
  <si>
    <t xml:space="preserve">PMC Recruit</t>
  </si>
  <si>
    <t xml:space="preserve">Human Mercenary Recruit</t>
  </si>
  <si>
    <t xml:space="preserve">&lt;center&gt;&lt;u&gt;Armor 4&lt;/u&gt; (Damage dealt to ~ by any source is reduced by 4. Whenever damage is reduced this way ~ loses that much armor.)&lt;/center&gt;</t>
  </si>
  <si>
    <t>GC_014</t>
  </si>
  <si>
    <t>Adrenaline</t>
  </si>
  <si>
    <t xml:space="preserve">&lt;center&gt;&lt;u&gt;Exchange [G]&lt;/u&gt; (Pay [G], Discard ~ from your hand: Draw a card.)&lt;/center&gt;&lt;p&gt;[T], &lt;u&gt;Forfeit&lt;/u&gt; (Put the specified card into its owner's discard.) ~: Choose an asset; until end of turn, it gets +4/+4.&lt;/p&gt;</t>
  </si>
  <si>
    <t>GC_015</t>
  </si>
  <si>
    <t xml:space="preserve">Sister in Arms</t>
  </si>
  <si>
    <t xml:space="preserve">Human Female Mercenary </t>
  </si>
  <si>
    <t xml:space="preserve">&lt;i&gt;Strength in Numbers&lt;/i&gt; -- Whenever ~ attacks, choose another combatant, that combatant attacks with ~. Until end of turn, that asset gets +2/+0.</t>
  </si>
  <si>
    <t>GC_016</t>
  </si>
  <si>
    <t>Survivalist</t>
  </si>
  <si>
    <t xml:space="preserve">Human Survivalist</t>
  </si>
  <si>
    <t xml:space="preserve">&lt;center&gt;&lt;u&gt;Challenge&lt;/u&gt; (Whenever ~ attacks, choose another combatant to intercept it, if able.)&lt;/center&gt;</t>
  </si>
  <si>
    <t>GC_017</t>
  </si>
  <si>
    <t xml:space="preserve">Anti-Orbital Cannon</t>
  </si>
  <si>
    <t xml:space="preserve">&lt;center&gt;&lt;u&gt;Vehicle&lt;/u&gt; (When ~ enters the battlefield, you may choose another asset to attach it to. The combined unit has all effects of both assets, and the highest attack power, health, and ranged status of the two.), &lt;u&gt;Anti-Orbital&lt;/u&gt; (~ can intercept assets with spacecraft.)&lt;/center&gt;</t>
  </si>
  <si>
    <t>GC_018</t>
  </si>
  <si>
    <t>Steroids</t>
  </si>
  <si>
    <t xml:space="preserve">&lt;center&gt;&lt;u&gt;Append to Combatant [1][G]&lt;/u&gt; (As you deploy a combatant you may reveal ~ and pay [1][G]. If you do add this card's effects as it resolves; it loses those effects once it leaves the stack.)&lt;/center&gt;&lt;p&gt;Choose a combatant; until end of turn, it gets +2/+2.&lt;/p&gt;</t>
  </si>
  <si>
    <t>GC_019</t>
  </si>
  <si>
    <t xml:space="preserve">exaLink GC010</t>
  </si>
  <si>
    <t xml:space="preserve">Drone Mercenary </t>
  </si>
  <si>
    <t xml:space="preserve">&lt;center&gt;&lt;u&gt;Armor 3&lt;/u&gt; (Damage dealt to ~ by any source is reduced by 3. Whenever damage is reduced this way ~ loses that much armor.)&lt;/center&gt;</t>
  </si>
  <si>
    <t>GC_020</t>
  </si>
  <si>
    <t xml:space="preserve">Relayed Tactics</t>
  </si>
  <si>
    <t xml:space="preserve">Choose a combatant; until end of turn, it gains &lt;u&gt;Formation&lt;/u&gt; (Cards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t>
  </si>
  <si>
    <t>GC_021</t>
  </si>
  <si>
    <t xml:space="preserve">New Made Lieutenant</t>
  </si>
  <si>
    <t xml:space="preserve">&lt;center&gt;&lt;u&gt;Formation&lt;/u&gt; (Cards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units.)&lt;/center&gt;</t>
  </si>
  <si>
    <t>GC_022</t>
  </si>
  <si>
    <t xml:space="preserve">Deployable Wall</t>
  </si>
  <si>
    <t>Wall</t>
  </si>
  <si>
    <t xml:space="preserve">&lt;center&gt;&lt;u&gt;Armor 3&lt;/u&gt; (Damage dealt to ~ by any source is reduced by 3. Whenever damage is reduced this way ~ loses that much armor.), &lt;u&gt;Barricade&lt;/u&gt; (~ can't attack; however, intercepting doesn't exhaust it.)&lt;/center&gt;</t>
  </si>
  <si>
    <t>GC_023</t>
  </si>
  <si>
    <t xml:space="preserve">Squirrel with a Gun</t>
  </si>
  <si>
    <t xml:space="preserve">&lt;center&gt;&lt;u&gt;Armed -- 'Ballistic Pistol'&lt;/u&gt; (~ enters the battlefield with a transient &lt;i&gt;'Ballistic Pistol'&lt;/i&gt; attached to it.)&lt;/center&gt;</t>
  </si>
  <si>
    <t>GC_024</t>
  </si>
  <si>
    <t>B_CMDR_1</t>
  </si>
  <si>
    <t xml:space="preserve">A.L.I.V.E, First Responder</t>
  </si>
  <si>
    <t>3BB</t>
  </si>
  <si>
    <t xml:space="preserve">AI Police Medic</t>
  </si>
  <si>
    <t xml:space="preserve">&lt;p&gt;&lt;center&gt;&lt;b&gt;~@ isn't renowned.&lt;/b&gt;&lt;/center&gt;&lt;/p&gt;&lt;p&gt;&lt;b&gt;&lt;i&gt;As Commander&lt;/i&gt; --&lt;/b&gt; At the beginning of each turn, ~@ gains 1 loyalty.&lt;/p&gt;&lt;p&gt;&lt;b&gt;&lt;i&gt;As Asset&lt;/i&gt; --&lt;/b&gt; Each time your commander loses &lt;u&gt;X&lt;/u&gt; (X is 1/5 your commander's starting loyalty) loyalty, create an &lt;i&gt;'Emergency Defibrillator'&lt;/i&gt; in your hand. If ~@ is inside a vehicle, instead create an &lt;i&gt;'Emergency Defibrillator'&lt;/i&gt; whenever your commander loses loyalty.&lt;/p&gt;</t>
  </si>
  <si>
    <t xml:space="preserve">"A.L.I.V.E's job is to ensure that every officer returns in 1 piece."</t>
  </si>
  <si>
    <t>BR_001</t>
  </si>
  <si>
    <t xml:space="preserve">Shawn Bright, Anti-Riot Bulwark</t>
  </si>
  <si>
    <t>2BBB</t>
  </si>
  <si>
    <t xml:space="preserve">Human Male Police Leader</t>
  </si>
  <si>
    <t xml:space="preserve">&lt;center&gt;(Becomes &lt;i&gt;'Shawn's Moral'&lt;/i&gt; if you already control ~.)&lt;br/&gt;&lt;u&gt;Formation - Attack Front 2, Back 0&lt;/u&gt;&lt;/center&gt;&lt;p&gt;When ~@ attacks, until end of turn, all other assets you control gain &lt;u&gt;shield&lt;/u&gt; (Prevent the next instance of damage the specified assets would receive. Once damage has been prevented this way, the specified asset loses Shield.)&lt;/p&gt;</t>
  </si>
  <si>
    <t>BR_001b</t>
  </si>
  <si>
    <t xml:space="preserve">Shawn's Moral</t>
  </si>
  <si>
    <t>1BB</t>
  </si>
  <si>
    <t xml:space="preserve">&lt;u&gt;Personal&lt;/u&gt; Police</t>
  </si>
  <si>
    <t xml:space="preserve">&lt;center&gt;(This effect can only be deployed if you control a renowned asset. Banked energy can't be spent to deploy renowned cards.)&lt;/center&gt;&lt;p&gt;All Police combatants everywhere permanently gain +1/+1.&lt;/p&gt;&lt;p&gt;&lt;u&gt;Personal&lt;/u&gt; (Shuffle &lt;i&gt;'Shawn Bright, Anti-Riot Bulwark'&lt;/i&gt; into your deck.)&lt;/p&gt;</t>
  </si>
  <si>
    <t>BR_002</t>
  </si>
  <si>
    <t xml:space="preserve">Inspiring Sergeant</t>
  </si>
  <si>
    <t>2BB</t>
  </si>
  <si>
    <t xml:space="preserve">Human Female Police Leader</t>
  </si>
  <si>
    <t xml:space="preserve">&lt;center&gt;&lt;u&gt;Formation&lt;/u&gt;&lt;/center&gt;&lt;p&gt;Police assets you control have your choice of +2/+0 or +0/+2 (you choose as ~ enters the battlefield.)&lt;/p&gt;</t>
  </si>
  <si>
    <t>BR_003</t>
  </si>
  <si>
    <t>Moral</t>
  </si>
  <si>
    <t>2B</t>
  </si>
  <si>
    <t xml:space="preserve">&lt;center&gt;&lt;u&gt;Append to Effect [4][B]&lt;/u&gt; (As you deploy an Effect you may reveal ~ and pay [4][B]. If you do add this card's effects as it resolves; it loses those effects once it leaves the stack.)&lt;/center&gt;&lt;p&gt;All combatants of a subtype of your choice on the battlefield, permanently gain +1/+1.&lt;/p&gt;</t>
  </si>
  <si>
    <t>BR_004</t>
  </si>
  <si>
    <t xml:space="preserve">Solitary Confinement</t>
  </si>
  <si>
    <t xml:space="preserve">&lt;p&gt;Choose an asset; set it aside until ~ leaves the battlefield.&lt;/p&gt;&lt;p&gt;Players can't deploy card with the same name as the card under ~.&lt;/p&gt;</t>
  </si>
  <si>
    <t>BU_001</t>
  </si>
  <si>
    <t xml:space="preserve">Hand of A.L.I.V.E</t>
  </si>
  <si>
    <t>3B</t>
  </si>
  <si>
    <t xml:space="preserve">&lt;u&gt;Vehicle&lt;/u&gt; Ambulance</t>
  </si>
  <si>
    <t xml:space="preserve">&lt;center&gt;&lt;u&gt;Vehicle&lt;/u&gt;&lt;/center&gt;&lt;p&gt;If your commander would gain loyalty, it gains an additional 1 loyalty.&lt;/p&gt;&lt;p&gt;If an asset would be healed, it is additionally &lt;u&gt;healed 1&lt;/u&gt; (If the specified asset has attack power or health reductions, reduce them by 1 [reducing permanent reductions first]. Otherwise remove 1 damage from it.)&lt;/p&gt;</t>
  </si>
  <si>
    <t>BU_002</t>
  </si>
  <si>
    <t>BearCat</t>
  </si>
  <si>
    <t xml:space="preserve">&lt;u&gt;Vehicle&lt;/u&gt; Police</t>
  </si>
  <si>
    <t xml:space="preserve">&lt;center&gt;&lt;u&gt;Inexhaustible&lt;/u&gt; (The first time ~ attacks each turn, it isn't exhausted.), &lt;u&gt;Vehicle&lt;/u&gt; (When ~ enters the battlefield, you may choose another asset to attach it to. The combined unit has all effects of both assets, and the highest attack power, health, and ranged status of the two.)&lt;/center&gt;</t>
  </si>
  <si>
    <t>BU_003</t>
  </si>
  <si>
    <t>Arrest</t>
  </si>
  <si>
    <t>3BBB</t>
  </si>
  <si>
    <t xml:space="preserve">&lt;p&gt;Choose an asset to remove from the game. Shuffle an &lt;i&gt;'Incarceration'&lt;/i&gt; into its owner's deck.&lt;/p&gt;&lt;p&gt;If an opponent attacked you with 3 or more combatants this turn, ~ costs [2][B] less as long as the chosen asset belongs to that opponent.&lt;/p&gt;</t>
  </si>
  <si>
    <t>BU_004</t>
  </si>
  <si>
    <t xml:space="preserve">Department Trainee</t>
  </si>
  <si>
    <t xml:space="preserve">Human Police Intern</t>
  </si>
  <si>
    <t xml:space="preserve">&lt;center&gt;&lt;u&gt;Inexhaustible&lt;/u&gt; (The first time ~ attacks each turn, it isn't exhausted.), &lt;u&gt;Quick Hire&lt;/u&gt; (When ~ is hired as a generator, it can exhaust as soon as it is hired.)&lt;/center&gt;&lt;p&gt;[T]: Add [B].&lt;/p&gt;&lt;p&gt;[2][B][B], [T]: Create a &lt;i&gt;'Fellow Officer'&lt;/i&gt; on the battlefield.&lt;/p&gt;</t>
  </si>
  <si>
    <t>BU_005</t>
  </si>
  <si>
    <t xml:space="preserve">SWAT Team Leader</t>
  </si>
  <si>
    <t xml:space="preserve">Augmented Police</t>
  </si>
  <si>
    <t xml:space="preserve">When ~ resolves, create &lt;u&gt;X&lt;/u&gt; (X is 1 plus the number of cards named ~ that have been deployed this game.) &lt;i&gt;'Fellow Officer'&lt;/i&gt;s on the battlefield.</t>
  </si>
  <si>
    <t>BU_006</t>
  </si>
  <si>
    <t xml:space="preserve">Operation 11.3</t>
  </si>
  <si>
    <t xml:space="preserve">&lt;center&gt;Choose an asset; set it aside until ~ leaves the battlefield.&lt;/center&gt;</t>
  </si>
  <si>
    <t>BU_007</t>
  </si>
  <si>
    <t xml:space="preserve">Sedative Cuffs</t>
  </si>
  <si>
    <t xml:space="preserve">Equipment Police</t>
  </si>
  <si>
    <t xml:space="preserve">&lt;p&gt;When ~ enters the battlefield, choose an augmented or human combatant to attach it to.&lt;/p&gt;&lt;p&gt;The attached asset can't attack or intercept and has "[1][B]: Until end of turn, this asset loses all effects. This effect may be activated by any player."&lt;/p&gt;</t>
  </si>
  <si>
    <t>BU_008</t>
  </si>
  <si>
    <t xml:space="preserve">Maintain Order</t>
  </si>
  <si>
    <t xml:space="preserve">~ costs [1] less to deploy if you didn't go first.&lt;p&gt;Kill all combatants that have attacked this turn.&lt;/p&gt;</t>
  </si>
  <si>
    <t>BC_001</t>
  </si>
  <si>
    <t>Patrolman</t>
  </si>
  <si>
    <t>1B</t>
  </si>
  <si>
    <t xml:space="preserve">Human Police</t>
  </si>
  <si>
    <t>BC_002</t>
  </si>
  <si>
    <t xml:space="preserve">Inexhaustible Officer</t>
  </si>
  <si>
    <t xml:space="preserve">&lt;center&gt;&lt;u&gt;Inexhaustible&lt;/u&gt; (The first time ~ attacks each turn, it isn't exhausted.)&lt;/center&gt;</t>
  </si>
  <si>
    <t xml:space="preserve">"..Now it seems they are around more often than our sergeants."</t>
  </si>
  <si>
    <t>BC_003</t>
  </si>
  <si>
    <t xml:space="preserve">Corrupt Investigator</t>
  </si>
  <si>
    <t xml:space="preserve">Human Police Investigator</t>
  </si>
  <si>
    <t xml:space="preserve">&lt;center&gt;&lt;u&gt;Doubt 1&lt;/u&gt; (When you deploy ~, shuffle a 'Doubt' into your deck.)&lt;/center&gt;&lt;p&gt;When ~ enters the battlefield, look at the top card of your deck, you may draw it or put it on the bottom. If you draw it, remove a card in your hand from the game.&lt;/p&gt;</t>
  </si>
  <si>
    <t xml:space="preserve">"Evidence can be valuable on the right market."</t>
  </si>
  <si>
    <t>BC_004</t>
  </si>
  <si>
    <t xml:space="preserve">Capture the Weak</t>
  </si>
  <si>
    <t xml:space="preserve">Choose a combatant with &lt;u&gt;generalized cost&lt;/u&gt; (The cost of the card if all typed symbols were replaced with generic numbers. E.x. Capture the Week has a generalized cost of [2].) [4] or less; remove it from the game.</t>
  </si>
  <si>
    <t>BC_005</t>
  </si>
  <si>
    <t xml:space="preserve">Stun Baton</t>
  </si>
  <si>
    <t xml:space="preserve">&lt;center&gt;&lt;u&gt;Tradeable&lt;/u&gt; (Once each turn, you may pay ~'s cost, if you do choose another asset; attach ~ to it.)&lt;/center&gt;&lt;p&gt;When ~ enters the battlefield, attach it to a combatant of your choice.&lt;/p&gt;&lt;p&gt;Whenever the attached asset deals damage to a combatant, the next time that combatant would be refreshed, it isn't.&lt;/p&gt;</t>
  </si>
  <si>
    <t>BC_006</t>
  </si>
  <si>
    <t xml:space="preserve">Traffic Cop</t>
  </si>
  <si>
    <t>BC_007</t>
  </si>
  <si>
    <t xml:space="preserve">Precinct Armory</t>
  </si>
  <si>
    <t xml:space="preserve">Police Building</t>
  </si>
  <si>
    <t xml:space="preserve">&lt;center&gt;(You may play ~ whenever you have the option to hire a generator, instead of hiring any other card as a generator, or you may deploy it as an asset.)&lt;/center&gt;&lt;p&gt;&lt;u&gt;Barricade&lt;/u&gt; (~ can't attack; however, intercepting doesn't exhaust it.)&lt;/p&gt;&lt;p&gt;[T], Choose a combatant; create a &lt;u&gt;transient&lt;/u&gt; (If it would enter a discard, instead remove it from the game.) &lt;i&gt;'Ballistic Pistol'&lt;/i&gt; attached to it.&lt;/p&gt;</t>
  </si>
  <si>
    <t>BC_008</t>
  </si>
  <si>
    <t xml:space="preserve">Barricade Bot</t>
  </si>
  <si>
    <t xml:space="preserve">Drone Police</t>
  </si>
  <si>
    <t xml:space="preserve">&lt;center&gt;&lt;u&gt;Barricade&lt;/u&gt; (~ can't attack; however, intercepting doesn't exhaust it.)&lt;/center&gt;&lt;p&gt;A deck may have any number of copies of ~ in it.&lt;/p&gt;</t>
  </si>
  <si>
    <t>BC_009</t>
  </si>
  <si>
    <t xml:space="preserve">Police Drone</t>
  </si>
  <si>
    <t>BC_010</t>
  </si>
  <si>
    <t xml:space="preserve">Karl, Brought His Brother</t>
  </si>
  <si>
    <t xml:space="preserve">Human Male Police Investigator</t>
  </si>
  <si>
    <t xml:space="preserve">When ~ enters the battlefield, you may put a &lt;u&gt;male&lt;/u&gt; (If a card doesn't explicitly say Male or Female it counts as both.) civilian card in your hand with a &lt;u&gt;generalized cost&lt;/u&gt; (The cost of the card if all typed symbols were replaced with generic numbers. E.x. Karl, Brought his Brother has a generalized cost of [3].) of [2] or less onto the battlefield.</t>
  </si>
  <si>
    <t>BC_011</t>
  </si>
  <si>
    <t>BC_012</t>
  </si>
  <si>
    <t>B_CMDR_2</t>
  </si>
  <si>
    <t xml:space="preserve">Crystal Waters, Anti-Trafficker</t>
  </si>
  <si>
    <t xml:space="preserve">Human Female Civilian Investigator</t>
  </si>
  <si>
    <t xml:space="preserve">&lt;center&gt;(Becomes &lt;i&gt;'Answer to Prayers'&lt;/i&gt; if you already control ~.)&lt;/center&gt;&lt;p&gt;Whenever a Child or Civilian intercepts or &lt;u&gt;dies&lt;/u&gt; (Enters a discard from the battlefield), shuffle a &lt;i&gt;'Tip'&lt;/i&gt; into your deck (only create one &lt;i&gt;'Tip'&lt;/i&gt; if it died while intercepting.)&lt;/p&gt;&lt;p&gt;&lt;b&gt;&lt;i&gt;As Asset&lt;/i&gt; --&lt;/b&gt; Whenever you deploy a Clue, until end of turn, combatants you control can't be chosen by cards with the energy type of your choice.&lt;/p&gt;</t>
  </si>
  <si>
    <t xml:space="preserve">"All around us, every minute of every day, children.. innocent children are being sold, and raped, and abused. With God's help we will save them!"</t>
  </si>
  <si>
    <t>B_CMDR_2b</t>
  </si>
  <si>
    <t xml:space="preserve">Answer to Prayers</t>
  </si>
  <si>
    <t xml:space="preserve">&lt;u&gt;Personal&lt;/u&gt; Miracle</t>
  </si>
  <si>
    <t xml:space="preserve">&lt;center&gt;(This effect can only be deployed if you control a renowned asset. Banked energy can't be spent to deploy renowned cards.)&lt;/center&gt;&lt;p&gt;Choose a combatant; &lt;u&gt;fully Heal&lt;/u&gt; (Remove all attack power and health reductions, and all damage from the specified asset.) that combatant. Until end of turn, it can't be chosen or damaged.&lt;/p&gt;&lt;p&gt;&lt;u&gt;Personal&lt;/u&gt; (Shuffle &lt;i&gt;'Crystal Waters, Anti-Trafficker'&lt;/i&gt; into your deck.)&lt;/p&gt;</t>
  </si>
  <si>
    <t>BR_005</t>
  </si>
  <si>
    <t xml:space="preserve">Collapse the Tunnels</t>
  </si>
  <si>
    <t>4BBB</t>
  </si>
  <si>
    <t xml:space="preserve">&lt;center&gt;(This effect can only be deployed if you control a renowned asset. Banked energy can't be spent to deploy renowned cards.)&lt;/center&gt;&lt;p&gt;Choose any number of combatants to return to their owner's hands.&lt;/p&gt;&lt;p&gt;Kill all combatants.&lt;/p&gt;</t>
  </si>
  <si>
    <t>BR_006</t>
  </si>
  <si>
    <t xml:space="preserve">'Charitable' Donation</t>
  </si>
  <si>
    <t xml:space="preserve">&lt;p&gt;Chose an opponent, then choose one:&lt;ul&gt;Choose an asset you control, the chosen opponent gains control of that asset.&lt;br/&gt;Choose a card in your hand, put that card into the chosen opponent's hand.&lt;/ul&gt;&lt;/p&gt;&lt;p&gt;Shuffle a &lt;i&gt;'Tip'&lt;/i&gt; into your deck.&lt;/p&gt;</t>
  </si>
  <si>
    <t>BR_007</t>
  </si>
  <si>
    <t xml:space="preserve">Good Samaritan</t>
  </si>
  <si>
    <t xml:space="preserve">Augmented Civilian Investigator</t>
  </si>
  <si>
    <t xml:space="preserve">&lt;center&gt;Effects cost [1] more to deploy.&lt;/center&gt;</t>
  </si>
  <si>
    <t>BR_008</t>
  </si>
  <si>
    <t xml:space="preserve">Penny Pincher</t>
  </si>
  <si>
    <t xml:space="preserve">Whenever your opponent draws any number of cards, create a &lt;i&gt;'Savings'&lt;/i&gt; in your hand unless they pay ~'s &lt;u&gt;generalized cost&lt;/u&gt; (The cost of the card if all typed symbols were replaced with generic numbers. E.x. Penny Pincher has a generalized cost of [2].).</t>
  </si>
  <si>
    <t>BU_009</t>
  </si>
  <si>
    <t>Redistribution</t>
  </si>
  <si>
    <t xml:space="preserve">&lt;center&gt;&lt;u&gt;Exchange [1]&lt;/u&gt; (Pay [1], Discard ~ from your hand: Draw a card.)&lt;/center&gt;&lt;p&gt;Each player may draw up to 3 cards. Their commanders gain 4 loyalty for each card they don't draw.&lt;/p&gt;</t>
  </si>
  <si>
    <t xml:space="preserve">"The visionaries of the 20th century claimed all the words problems would be fixed if we gave all our money to those who had non-e.."</t>
  </si>
  <si>
    <t>BU_010</t>
  </si>
  <si>
    <t xml:space="preserve">Supernatural Exhaustion</t>
  </si>
  <si>
    <t xml:space="preserve">Latent Miracle</t>
  </si>
  <si>
    <t xml:space="preserve">&lt;center&gt;&lt;u&gt;Retribution&lt;/u&gt; (When you draw ~ as a result of taking damage, you may deploy it without paying its cost.)&lt;/center&gt;&lt;p&gt;Assets enter the battlefield exhausted, unless their controller pays [2].&lt;/p&gt;</t>
  </si>
  <si>
    <t>BU_011</t>
  </si>
  <si>
    <t xml:space="preserve">Well Fed Snitch</t>
  </si>
  <si>
    <t xml:space="preserve">Human Child</t>
  </si>
  <si>
    <t xml:space="preserve">When ~ enters the battlefield, shuffle a &lt;i&gt;'Tip'&lt;/i&gt; into your deck.</t>
  </si>
  <si>
    <t xml:space="preserve">"I tell the grown ups whenever the others are being bad! So they feed me more!"</t>
  </si>
  <si>
    <t>BU_012</t>
  </si>
  <si>
    <t xml:space="preserve">Guardian Angel</t>
  </si>
  <si>
    <t xml:space="preserve">Angel Guard</t>
  </si>
  <si>
    <t xml:space="preserve">&lt;center&gt;&lt;u&gt;Unkillable&lt;/u&gt; (~ can't be killed by damage.)&lt;/center&gt;</t>
  </si>
  <si>
    <t xml:space="preserve">"We and the Fallen lurk in the shadows, waging war unbenounced to any of the mortals..."</t>
  </si>
  <si>
    <t>BU_013</t>
  </si>
  <si>
    <t xml:space="preserve">Dismantle the Cages</t>
  </si>
  <si>
    <t xml:space="preserve">Choose anything attached to a combatant; its controller &lt;u&gt;forfeites&lt;/u&gt; (Put the specified cards into their owner's discard.) it.</t>
  </si>
  <si>
    <t>BU_014</t>
  </si>
  <si>
    <t xml:space="preserve">Charitable Widow</t>
  </si>
  <si>
    <t xml:space="preserve">When ~ enters the battlefield, choose one:&lt;ul&gt;Your commander gains 2 loyalty.&lt;br/&gt;Shuffle a &lt;i&gt;'Tip'&lt;/i&gt; into your deck.&lt;/ul&gt;</t>
  </si>
  <si>
    <t>BU_015</t>
  </si>
  <si>
    <t xml:space="preserve">Diver Muscle</t>
  </si>
  <si>
    <t>Drone</t>
  </si>
  <si>
    <t xml:space="preserve">[T]: Until end of turn, combatants you control gain "[T], Exhaust another combatant you control, the next time it would be refreshed, it isn't: Choose a combatant to exhaust."</t>
  </si>
  <si>
    <t>BU_016</t>
  </si>
  <si>
    <t xml:space="preserve">Imparter of Wisdom</t>
  </si>
  <si>
    <t xml:space="preserve">Human Citizen Teacher</t>
  </si>
  <si>
    <t xml:space="preserve">&lt;u&gt;Once&lt;/u&gt; (As you activate this effect, remove it from this card): All other combatants without effects permanently get +2/+2.</t>
  </si>
  <si>
    <t>BC_013</t>
  </si>
  <si>
    <t xml:space="preserve">Diver Priest</t>
  </si>
  <si>
    <t xml:space="preserve">Human Civilian Clergy</t>
  </si>
  <si>
    <t xml:space="preserve">When ~ resolves, choose a combatant; until end of turn, it gains &lt;u&gt;unkillable&lt;/u&gt; (It can't be killed by damage.)</t>
  </si>
  <si>
    <t xml:space="preserve">"Even though I walk through the valley of the shadow of death, I fear no evil, for You are with me..." ~ Psalm 23:4</t>
  </si>
  <si>
    <t>BC_014</t>
  </si>
  <si>
    <t xml:space="preserve">First Aid</t>
  </si>
  <si>
    <t xml:space="preserve">Choose one:&lt;ul&gt;Your commander gains 3 loyalty.&lt;br/&gt;Choose an asset; &lt;u&gt;Heal it 3&lt;/u&gt; (If the specified asset has attack power or health reductions, reduce them by 3 [reducing permanent reductions first]. Otherwise remove 3 damage from it.)&lt;br/&gt;Choose an asset; it looses bleeding.&lt;/ul&gt;</t>
  </si>
  <si>
    <t>BC_015</t>
  </si>
  <si>
    <t xml:space="preserve">Scared Child</t>
  </si>
  <si>
    <t>Blue</t>
  </si>
  <si>
    <t xml:space="preserve">&lt;center&gt;&lt;u&gt;Exchange [1]&lt;/u&gt; (Pay [1], Discard ~ from your hand: Draw a card.)&lt;p&gt;~ can't attack.&lt;/p&gt;&lt;/center&gt;</t>
  </si>
  <si>
    <t>BC_016</t>
  </si>
  <si>
    <t xml:space="preserve">Light in the Darkness</t>
  </si>
  <si>
    <t xml:space="preserve">&lt;p&gt;~ costs [B] less if you didn't go first.&lt;/p&gt;&lt;p&gt;Choose a combatant, until end of turn, its attack power is reduced to 0.&lt;/p&gt;</t>
  </si>
  <si>
    <t xml:space="preserve">"Be careful where you point those lights, most of the things living down here haven't seen light in a long time."</t>
  </si>
  <si>
    <t>BC_017</t>
  </si>
  <si>
    <t xml:space="preserve">Neglectful Parent</t>
  </si>
  <si>
    <t xml:space="preserve">&lt;center&gt;The first time ~ becomes exhausted, create a &lt;u&gt;transient&lt;/u&gt; &lt;i&gt;'Scared Child'&lt;/i&gt; in your hand.&lt;/center&gt;</t>
  </si>
  <si>
    <t>BC_018</t>
  </si>
  <si>
    <t xml:space="preserve">Devoted Mother</t>
  </si>
  <si>
    <t>BC_019</t>
  </si>
  <si>
    <t xml:space="preserve">Underworld Investigator</t>
  </si>
  <si>
    <t xml:space="preserve">Human Civilian Investigator</t>
  </si>
  <si>
    <t xml:space="preserve">When ~ &lt;u&gt;dies&lt;/u&gt; (Enters a discard from the battlefield), shuffle a &lt;i&gt;'Tip'&lt;/i&gt; into your deck.</t>
  </si>
  <si>
    <t>BC_020</t>
  </si>
  <si>
    <t xml:space="preserve">Generous Stranger</t>
  </si>
  <si>
    <t xml:space="preserve">When ~ enters the battlefield, choose an opponent; they may play a card in their hand without paying its costs.</t>
  </si>
  <si>
    <t>BC_021</t>
  </si>
  <si>
    <t xml:space="preserve">Return to Dust</t>
  </si>
  <si>
    <t xml:space="preserve">Tragedy &lt;u&gt;Response&lt;/u&gt;</t>
  </si>
  <si>
    <t xml:space="preserve">Choose a player; the next time they would draw a card, they don't.</t>
  </si>
  <si>
    <t xml:space="preserve">"Seeing 1 of the others like this is truly humbling, really makes you think doesn't it?" </t>
  </si>
  <si>
    <t xml:space="preserve">Person letting the ashes of their fallen comrade shift through their fingers.</t>
  </si>
  <si>
    <t>BC_022</t>
  </si>
  <si>
    <t>BC_023</t>
  </si>
  <si>
    <t>BC_024</t>
  </si>
  <si>
    <t>P_CMDR_1</t>
  </si>
  <si>
    <t xml:space="preserve">The Director</t>
  </si>
  <si>
    <t>PPP</t>
  </si>
  <si>
    <t>Enigma</t>
  </si>
  <si>
    <t xml:space="preserve">&lt;center&gt;(Becomes &lt;i&gt;'Quantum Timeline Analysis'&lt;/i&gt; if you already control ~.)&lt;/center&gt;&lt;p&gt;At the beginning of each other player's turn they reveal a non-revealed card from their hand.&lt;/p&gt;&lt;p&gt;&lt;b&gt;&lt;i&gt;As Asset&lt;/i&gt; --&lt;/b&gt; Whenever an opponent reveals any number of non-revealed cards in their hand, draw a card.&lt;/p&gt;</t>
  </si>
  <si>
    <t xml:space="preserve">No 1 really knows who -- or what -- he is, the reverse is not the case.</t>
  </si>
  <si>
    <t>P_CMDR_1b</t>
  </si>
  <si>
    <t xml:space="preserve">Quantum Timeline Analysis</t>
  </si>
  <si>
    <t>XP</t>
  </si>
  <si>
    <t xml:space="preserve">&lt;center&gt;(This effect can only be deployed if you control a renowned asset. Banked energy can't be spent to deploy renowned cards.)&lt;/center&gt;&lt;p&gt;Each player looks at the top [X] cards of their deck, then draws up to 2 of them.&lt;/p&gt;&lt;p&gt;&lt;u&gt;Personal&lt;/u&gt; (Shuffle &lt;i&gt;'The Director'&lt;/i&gt; into your deck.)&lt;/p&gt;</t>
  </si>
  <si>
    <t>PR_001</t>
  </si>
  <si>
    <t xml:space="preserve">Information Processor</t>
  </si>
  <si>
    <t>PP</t>
  </si>
  <si>
    <t xml:space="preserve">&lt;p&gt;Each player draws an additional card at the beginning of their turn.&lt;/p&gt;&lt;p&gt;If ~ is inside a vehicle, whenever a player draws a card due to a source not named ~, each other player draws a card.&lt;/p&gt;</t>
  </si>
  <si>
    <t>PR_002</t>
  </si>
  <si>
    <t xml:space="preserve">Stargate Project Access Point</t>
  </si>
  <si>
    <t>1PP</t>
  </si>
  <si>
    <t xml:space="preserve">AI Spy</t>
  </si>
  <si>
    <t xml:space="preserve">&lt;center&gt;Whenever an opponent reveals any number of non-revealed cards in their hand, draw a card.&lt;/center&gt;</t>
  </si>
  <si>
    <t xml:space="preserve">If Every smartph1 and link on the planet is your eyes, you can see everything. &lt;p&gt;-- The Director&lt;/p&gt;</t>
  </si>
  <si>
    <t>PR_003</t>
  </si>
  <si>
    <t xml:space="preserve">Confused Loyalties</t>
  </si>
  <si>
    <t>4PPP</t>
  </si>
  <si>
    <t xml:space="preserve">&lt;center&gt;&lt;u&gt;Doubt 2&lt;/u&gt; (When you deploy ~, shuffle 2 'Doubt's into your deck.)&lt;/center&gt;&lt;p&gt;Choose 2 players; swap control of all assets they control.&lt;/p&gt;</t>
  </si>
  <si>
    <t xml:space="preserve">"The Ismaili clan would infiltrate the lives of their targets fully.Gaining their trust. Becoming their friends. Then after years of loyal service, they would strike." -- The Director</t>
  </si>
  <si>
    <t>PR_004</t>
  </si>
  <si>
    <t xml:space="preserve">Careful Preparation</t>
  </si>
  <si>
    <t>3PP</t>
  </si>
  <si>
    <t xml:space="preserve">&lt;center&gt;(This effect can only be deployed [or prepared] if you control a renowned permanent. Banked energy can't be spent to deploy renowned cards.)&lt;br/&gt;&lt;u&gt;Prepare 4 -- [P]&lt;/u&gt; (Pay [P] and put ~ into your deck fourth from the top. When you would draw ~, instead deploy it without paying its cost.)&lt;/center&gt;&lt;p&gt;Draw 3 cards.&lt;/p&gt;</t>
  </si>
  <si>
    <t>PU_001</t>
  </si>
  <si>
    <t xml:space="preserve">exaLink's Flagship</t>
  </si>
  <si>
    <t xml:space="preserve">Equipment Augmentation Link</t>
  </si>
  <si>
    <t xml:space="preserve">When exaLink's Flagship enters the battlefield, choose a commander to attach it to.&lt;p&gt;The attached commander's controller plays with their hand revealed. Whenever they draw a card, you may draw a card.&lt;/p&gt;</t>
  </si>
  <si>
    <t>PU_002</t>
  </si>
  <si>
    <t>Curfew</t>
  </si>
  <si>
    <t>P</t>
  </si>
  <si>
    <t xml:space="preserve">&lt;center&gt;&lt;u&gt;Retribution&lt;/u&gt; (When you draw ~ as a result of taking damage, you may deploy it without paying its cost.)&lt;/center&gt;&lt;p&gt;Choose an asset; return all cards with the same name to their owner's hands. They lose all &lt;u&gt;stat modifications&lt;/u&gt; (Added/changed words, attack power, health, or ranged status.)&lt;/p&gt;</t>
  </si>
  <si>
    <t>PU_003</t>
  </si>
  <si>
    <t xml:space="preserve">Abuse of the Tax Code</t>
  </si>
  <si>
    <t>XPP</t>
  </si>
  <si>
    <t xml:space="preserve">&lt;p&gt;~ costs [1] less for every card on the stack.&lt;/p&gt;&lt;p&gt;&lt;u&gt;Hack&lt;/u&gt; (Send the specified cards on the stack to their owners' discards, none of their effects happen.) every other card on the stack unless each card's controller pays [X] for it.&lt;/p&gt;</t>
  </si>
  <si>
    <t>PU_004</t>
  </si>
  <si>
    <t xml:space="preserve">Intelligence Intern</t>
  </si>
  <si>
    <t>2P</t>
  </si>
  <si>
    <t xml:space="preserve">&lt;center&gt;&lt;u&gt;Firewall [2]&lt;/u&gt; (Intelligence Intern can't be chosen unless the player choosing it pays [2].), &lt;u&gt;Quick Hire&lt;/u&gt; (When ~ is hired as a generator, it can exhaust as soon as it is hired.)&lt;/center&gt;&lt;p&gt;[T]: Add [P].&lt;/p&gt;&lt;p&gt;[2][P][P], [T]: Choose a player; they reveal the top 3 cards of their deck, then puts them back in any order.&lt;/p&gt;</t>
  </si>
  <si>
    <t>PU_005</t>
  </si>
  <si>
    <t xml:space="preserve">Construct Digital Profile</t>
  </si>
  <si>
    <t>2PP</t>
  </si>
  <si>
    <t xml:space="preserve">&lt;p&gt;Choose a player; they reveal their hand.&lt;/p&gt;&lt;p&gt;You may discard any number of cards in your hand, then draw that many cards.&lt;/p&gt;</t>
  </si>
  <si>
    <t>PU_006</t>
  </si>
  <si>
    <t>Remembrance</t>
  </si>
  <si>
    <t xml:space="preserve">&lt;center&gt;Chose an effect on the stack; deploy a copy of that effect without paying its mana cost.&lt;/center&gt;</t>
  </si>
  <si>
    <t xml:space="preserve">"Analyse defeats closely so that you may learn from them and thus avoid them in the future." &lt;p&gt;-- The Director&lt;/p&gt;</t>
  </si>
  <si>
    <t>PU_007</t>
  </si>
  <si>
    <t xml:space="preserve">Analysis of Past Defeats</t>
  </si>
  <si>
    <t xml:space="preserve">&lt;p&gt;Until end of turn, whenever you take damage you draw an additional card.&lt;/p&gt;&lt;p&gt;You don't discard to your maximum hand size at the end of this turn.&lt;/p&gt;</t>
  </si>
  <si>
    <t>PU_008</t>
  </si>
  <si>
    <t xml:space="preserve">Agent of Chaos</t>
  </si>
  <si>
    <t xml:space="preserve">Augmented Spy</t>
  </si>
  <si>
    <t xml:space="preserve">&lt;center&gt;&lt;u&gt;Retribution&lt;/u&gt; (When you draw ~ as a result of taking damage, you may deploy it without paying its cost.)&lt;/center&gt;&lt;p&gt;Whenever ~ deals combat damage to an opponent's commander, each player shuffles their hand into their deck, then draws the same number of cards.&lt;/p&gt;</t>
  </si>
  <si>
    <t xml:space="preserve">"If your opponent don't got a clue what's going on.. how could they possibly win?"</t>
  </si>
  <si>
    <t>PC_001</t>
  </si>
  <si>
    <t>Plan</t>
  </si>
  <si>
    <t xml:space="preserve">Look at the top 3 cards of your deck, draw 1 of them, then put the rest back on top in any order.&lt;p&gt;You may pay an additional [2][P] as you deploy ~, if you do choose an asset; return it to its owner's hand, then it loses all &lt;u&gt;stat modifications&lt;/u&gt; (Added/changed words, attack power, health, or ranged status.)&lt;/p&gt;</t>
  </si>
  <si>
    <t>PC_002</t>
  </si>
  <si>
    <t xml:space="preserve">Intelligence Agent</t>
  </si>
  <si>
    <t>1P</t>
  </si>
  <si>
    <t xml:space="preserve">Human Spy</t>
  </si>
  <si>
    <t>PC_003</t>
  </si>
  <si>
    <t>Overwatch</t>
  </si>
  <si>
    <t>Virus</t>
  </si>
  <si>
    <t xml:space="preserve">&lt;p&gt;Choose an opponent; they reveal 3 unrevealed cards in their hand (if there are 3 or less unrevealed cards in their hand they reveal their hand instead.)&lt;/p&gt;&lt;p&gt;That opponent's maximum hand size is reduced by 1 until the start of your next turn.&lt;/p&gt;</t>
  </si>
  <si>
    <t xml:space="preserve">"The link is a device which once installed, gives the individual access to a rich augmented world."&lt;p&gt;-- exaLink Promotional Material&lt;/p&gt;</t>
  </si>
  <si>
    <t>PC_004</t>
  </si>
  <si>
    <t>Paralyzer</t>
  </si>
  <si>
    <t>Link</t>
  </si>
  <si>
    <t xml:space="preserve">&lt;u&gt;Forfeit&lt;/u&gt; (Put the specified card into its owner's discard.) ~: Choose a combatant; return it to its owner's hand, then it loses all &lt;u&gt;stat modifications&lt;/u&gt; (Added/changed words, attack power, health, or ranged status.)</t>
  </si>
  <si>
    <t>PC_005</t>
  </si>
  <si>
    <t>Interrogate</t>
  </si>
  <si>
    <t xml:space="preserve">~ costs [P] less to deploy if you didn't go first.&lt;p&gt;Choose a player; they reveal a non-revealed card in their hand. If they can't, you draw a card.&lt;/p&gt;</t>
  </si>
  <si>
    <t xml:space="preserve">"They twisted every answer I gave until it sounded like the opposite meaning, and I became so confused and afraid I found myself agreeing to statements that I knew were not true." &lt;p&gt;-- S.J. Paris, Heresy&lt;/p&gt;</t>
  </si>
  <si>
    <t>PC_006</t>
  </si>
  <si>
    <t xml:space="preserve">Drone Tracking</t>
  </si>
  <si>
    <t xml:space="preserve">Each opponent reveals all of the Augmented and Link cards in their hands.</t>
  </si>
  <si>
    <t xml:space="preserve">"A million eyes and ears.."</t>
  </si>
  <si>
    <t>PC_007</t>
  </si>
  <si>
    <t>Foresight</t>
  </si>
  <si>
    <t xml:space="preserve">&lt;center&gt;&lt;u&gt;Advantageous&lt;/u&gt; (When ~ resolves, draw a card.), &lt;u&gt;Response&lt;/u&gt; (~ can be deployed during response phases.)&lt;/center&gt;&lt;p&gt;Choose an effect in your hand, until end of turn, it gains &lt;u&gt;response&lt;/u&gt;.&lt;/p&gt;</t>
  </si>
  <si>
    <t xml:space="preserve">"Some people claim they can tell the future, they are simply analyzing patterns of some sort. With enough data anything's actions can be predicated."</t>
  </si>
  <si>
    <t>PC_008</t>
  </si>
  <si>
    <t xml:space="preserve">Information Bunker</t>
  </si>
  <si>
    <t xml:space="preserve">&lt;center&gt;&lt;u&gt;Barricade&lt;/u&gt; (~ can't attack; however, intercepting doesn't exhaust it.)&lt;/center&gt;</t>
  </si>
  <si>
    <t>PC_009</t>
  </si>
  <si>
    <t>Anti-Hacker</t>
  </si>
  <si>
    <t xml:space="preserve">Human &lt;u&gt;Hacker&lt;/u&gt;</t>
  </si>
  <si>
    <t xml:space="preserve">&lt;center&gt;&lt;u&gt;Hacker&lt;/u&gt; (If ~ would deal damage to a commander, its owner instead puts that many cards from their deck into their discard.)&lt;/center&gt;&lt;p&gt;&lt;u&gt;Forfeit&lt;/u&gt; (Put the specified card into its owner's discard.) ~: &lt;u&gt;Effect Hack&lt;/u&gt; (Choose an effect on the stack; send it to its owner's discard, none of its effects happen.) unless its controller pays [1].&lt;/p&gt;</t>
  </si>
  <si>
    <t>PC_010</t>
  </si>
  <si>
    <t>Archive</t>
  </si>
  <si>
    <t xml:space="preserve">&lt;center&gt;&lt;u&gt;Advantageous&lt;/u&gt; (When ~ resolves, draw a card.)&lt;/center&gt;&lt;p&gt;Choose a card in your hand; shuffle it into your deck.&lt;/p&gt;</t>
  </si>
  <si>
    <t>PC_011</t>
  </si>
  <si>
    <t xml:space="preserve">Reconnaissance Satellite</t>
  </si>
  <si>
    <t>&lt;u&gt;Spacecraft&lt;/u&gt;</t>
  </si>
  <si>
    <t xml:space="preserve">&lt;center&gt;&lt;u&gt;Spacecraft&lt;/u&gt; (Space Shuttle can only intercept or be intercepted by assets with spacecraft.)&lt;/center&gt;&lt;p&gt;When ~ enters the battlefield, create a &lt;u&gt;transient&lt;/u&gt; (If it would enter a discard, instead remove it from the game.) &lt;i&gt;'Plan'&lt;/i&gt; in your hand.&lt;/p&gt;</t>
  </si>
  <si>
    <t>PC_012</t>
  </si>
  <si>
    <t xml:space="preserve">Try Again</t>
  </si>
  <si>
    <t xml:space="preserve">&lt;u&gt;Card Hack&lt;/u&gt; (Choose a card on the stack; send it to its owner's discard, none of its effects happen.), unless its controller pays its cost again. </t>
  </si>
  <si>
    <t>P_CMDR_2</t>
  </si>
  <si>
    <t xml:space="preserve">Sara Anthony, Cyber Criminal</t>
  </si>
  <si>
    <t xml:space="preserve">Human Child Female Hacker</t>
  </si>
  <si>
    <t xml:space="preserve">&lt;center&gt;(Becomes &lt;i&gt;'Dark Web Research'&lt;/i&gt; if you control ~.)&lt;br/&gt;&lt;u&gt;Warrant&lt;/u&gt;, &lt;u&gt;Hacker&lt;/u&gt;&lt;/center&gt;&lt;p&gt;&lt;b&gt;&lt;i&gt;As Commander&lt;/i&gt; --&lt;/b&gt; Your maximum hand size is doubled (this applies after any fixed additions or subtractions.)&lt;/p&gt;&lt;p&gt;&lt;b&gt;&lt;i&gt;As Asset&lt;/i&gt; --&lt;/b&gt; Whenever you resolve a Virus, choose an effect in your hand to have its cost permanently reduced by [1].&lt;/p&gt;</t>
  </si>
  <si>
    <t xml:space="preserve">"Getting your Link marks one's becoming an adult. It also marks your final loss of freedom.."</t>
  </si>
  <si>
    <t>P_CMDR_2b</t>
  </si>
  <si>
    <t xml:space="preserve">Dark Web Research</t>
  </si>
  <si>
    <t xml:space="preserve">&lt;center&gt;(This effect can only be deployed if you control a renowned asset. Banked energy can't be spent to deploy renowned cards.)&lt;/center&gt;&lt;p&gt;~ costs [P] less if you didn't go first.&lt;/p&gt;&lt;p&gt;A random player reveals the top card of their deck. At the beginning of your next turn, draw an additional card.&lt;/p&gt;&lt;p&gt;&lt;u&gt;Personal&lt;/u&gt; (Shuffle &lt;i&gt;'Sara Anthony, Cyber Criminal'&lt;/i&gt; into your deck.)&lt;/p&gt;</t>
  </si>
  <si>
    <t>PR_005</t>
  </si>
  <si>
    <t xml:space="preserve">Governmental Reeducation</t>
  </si>
  <si>
    <t>4PP</t>
  </si>
  <si>
    <t xml:space="preserve">Equipment Link</t>
  </si>
  <si>
    <t xml:space="preserve">&lt;center&gt;&lt;u&gt;Doubt 2&lt;/u&gt; (When you deploy ~, shuffle 2 'Doubt's into your deck.)&lt;/center&gt;&lt;p&gt;When ~ enters the battlefield, attach it to a combatant of your choice.&lt;/p&gt;&lt;p&gt;You control the attached asset.&lt;/p&gt;</t>
  </si>
  <si>
    <t xml:space="preserve">"Those taken in night raids are never seen again. They are given new lives and memories while being erased from their old ones.."</t>
  </si>
  <si>
    <t>PR_006</t>
  </si>
  <si>
    <t xml:space="preserve">Mobile Datacenter</t>
  </si>
  <si>
    <t>1PPP</t>
  </si>
  <si>
    <t xml:space="preserve">AI Database</t>
  </si>
  <si>
    <t xml:space="preserve">&lt;p&gt;Your maximum hand size is increased by 2.&lt;/p&gt;&lt;p&gt;If ~ is inside a vehicle, it gets +1/+1 for each card in your hand.&lt;/p&gt;</t>
  </si>
  <si>
    <t>PR_007</t>
  </si>
  <si>
    <t xml:space="preserve">Security Loophole</t>
  </si>
  <si>
    <t xml:space="preserve">Virus &lt;u&gt;Response&lt;/u&gt;</t>
  </si>
  <si>
    <t xml:space="preserve">Choose an effect in your discard, you may deploy that card. If you do, remove it from the game.</t>
  </si>
  <si>
    <t>PR_008</t>
  </si>
  <si>
    <t xml:space="preserve">Portable Electromagnetic Pulse</t>
  </si>
  <si>
    <t xml:space="preserve">&lt;p&gt;When &lt;i&gt;this card&lt;/i&gt; enters the battlefield, you may attach it to a combatant.&lt;/p&gt;&lt;p&gt;&lt;u&gt;Throw&lt;/u&gt; (Activate this ability only if attached to a combatant.),&lt;u&gt;Forfeit&lt;/u&gt; (Put the specified card into its owner's discard.) &lt;i&gt;this card&lt;/i&gt;: Choose a non-human combatant, &lt;u&gt;Turn it and any adjacent non-human combatants Off&lt;/u&gt; (Turn them face over, they will re-enter the battlefield once you pay their cost again.)&lt;/p&gt;&lt;p&gt;&lt;u&gt;Forfeit&lt;/u&gt; &lt;i&gt;this card&lt;/i&gt;: Add [P][P][P].&lt;/p&gt;</t>
  </si>
  <si>
    <t>PU_009</t>
  </si>
  <si>
    <t>Hack</t>
  </si>
  <si>
    <t xml:space="preserve">&lt;u&gt;Card Hack&lt;/u&gt; (Choose a card on the stack; send it to its owner's discard, none of its effects happen.), that card's owner looks at the top 4 cards of their deck and draws 1 of them.</t>
  </si>
  <si>
    <t xml:space="preserve">"You have to be careful whenever you do a job, next time their defenses will be better." &lt;p&gt;-- Sara Anthony&lt;/p&gt;</t>
  </si>
  <si>
    <t>PU_010</t>
  </si>
  <si>
    <t xml:space="preserve">SQL Injection</t>
  </si>
  <si>
    <t>3P</t>
  </si>
  <si>
    <t xml:space="preserve">&lt;p&gt;Choose an opponent and choose a card in their hand; shuffle that card into your deck.&lt;/p&gt;</t>
  </si>
  <si>
    <t xml:space="preserve">"It is 1 of the easiest tricks in the book." &lt;p&gt;-- Jonathan Arrigotti&lt;/p&gt;</t>
  </si>
  <si>
    <t>PU_011</t>
  </si>
  <si>
    <t xml:space="preserve">Jonathan Arrigotti, Sara's Partner in Crime</t>
  </si>
  <si>
    <t xml:space="preserve">Human Child Male Hacker</t>
  </si>
  <si>
    <t xml:space="preserve">&lt;center&gt;(Becomes &lt;i&gt;'Go Little Guy! Go!'&lt;/i&gt; if you already control ~@)&lt;br/&gt;&lt;u&gt;Warrant&lt;/u&gt;, &lt;u&gt;Hacker&lt;/u&gt; (If ~@ would deal damage to a commander, its owner instead puts that many cards from their deck into their discard.), &lt;u&gt;Uninterceptable&lt;/u&gt; (~@ can't be intercepted.)&lt;/center&gt;&lt;p&gt;Whenever ~@ deals combat damage to an opponent, shuffle a &lt;i&gt;'SQL Injection'&lt;/i&gt; into your deck.&lt;/p&gt;</t>
  </si>
  <si>
    <t xml:space="preserve">"Don't worry Sara, we'll find out what happened to your dad!"</t>
  </si>
  <si>
    <t>PU_011b</t>
  </si>
  <si>
    <t xml:space="preserve">Go Little Guy! Go!</t>
  </si>
  <si>
    <t xml:space="preserve">&lt;center&gt;(This effect can only be deployed if you control a renowned asset. Banked energy can't be spent to deploy renowned cards.)&lt;br/&gt;&lt;u&gt;Advantageous&lt;/u&gt;&lt;/center&gt;&lt;p&gt;Create a &lt;u&gt;transient&lt;/u&gt; &lt;i&gt;'Scout Drone'&lt;/i&gt; on the battlefield with a random keyword, from amongst the keywords on all assets currently on the battlefield.&lt;/p&gt;&lt;p&gt;&lt;u&gt;Personal&lt;/u&gt; (Shuffle &lt;i&gt;'Jonathan Arrigotti, Sara's Partner in Crime'&lt;/i&gt; into your deck.)&lt;/p&gt;</t>
  </si>
  <si>
    <t xml:space="preserve">"Jon what part of let's have a sleepover made you think you should work on your drone for 5 hours?." &lt;p&gt;-- Sara Anthony.&lt;/p&gt;</t>
  </si>
  <si>
    <t>PU_012</t>
  </si>
  <si>
    <t>Reject</t>
  </si>
  <si>
    <t xml:space="preserve">&lt;center&gt;&lt;u&gt;Append to Effect [1][P]&lt;/u&gt; (As you deploy an effect you may reveal ~ and pay [1][P]. If you do add this card's effects as it resolves; it loses those effects once it leaves the stack.)&lt;/center&gt;&lt;p&gt;Choose an asset; return it to its owner's hand.&lt;/p&gt;</t>
  </si>
  <si>
    <t>PU_013</t>
  </si>
  <si>
    <t xml:space="preserve">Rookie Anon</t>
  </si>
  <si>
    <t xml:space="preserve">Human Hacker</t>
  </si>
  <si>
    <t xml:space="preserve">&lt;center&gt;&lt;u&gt;Hacker&lt;/u&gt; (If ~ would deal damage to a commander, its owner instead puts that many cards from their deck into their discard.)&lt;/center&gt;&lt;p&gt;If you control 2 other Hackers with greater attack power, ~ can't be intercepted.&lt;/p&gt;</t>
  </si>
  <si>
    <t xml:space="preserve">"What's an iptable?"</t>
  </si>
  <si>
    <t>PU_014</t>
  </si>
  <si>
    <t xml:space="preserve">Divide by 0</t>
  </si>
  <si>
    <t xml:space="preserve">Choose a non-human combatant; until end of turn, its attack power is reduced to 0 and its health is increased to ∞.</t>
  </si>
  <si>
    <t>PU_015</t>
  </si>
  <si>
    <t xml:space="preserve">Distributed Denial of Service Attack</t>
  </si>
  <si>
    <t xml:space="preserve">AI Network</t>
  </si>
  <si>
    <t xml:space="preserve">Whenever your opponent would put cards from the top of their deck into their discard, they put double that many cards instead.</t>
  </si>
  <si>
    <t>PU_016</t>
  </si>
  <si>
    <t>PC_013</t>
  </si>
  <si>
    <t>PC_014</t>
  </si>
  <si>
    <t xml:space="preserve">Hacking Game</t>
  </si>
  <si>
    <t xml:space="preserve">&lt;p&gt;You may discard a card rather than pay ~'s cost.&lt;/p&gt;&lt;p&gt;Choose a card on the stack to return to its owner's hand.&lt;/p&gt;</t>
  </si>
  <si>
    <t xml:space="preserve">"Locked out again? That's a shame.. this time I'll pick your skirt!" &lt;p&gt;-- Jonathan Arrigotti&lt;/p&gt;</t>
  </si>
  <si>
    <t>PC_015</t>
  </si>
  <si>
    <t xml:space="preserve">Void Pointer</t>
  </si>
  <si>
    <t xml:space="preserve">&lt;center&gt;&lt;u&gt;Advantageous&lt;/u&gt; (When ~ resolves, draw a card.)&lt;p&gt;~ has all Effect subtypes.&lt;/p&gt;&lt;/center&gt;</t>
  </si>
  <si>
    <t xml:space="preserve">"A void pointer is a pointer that has no data type associated with it. A void pointer can hold address of any type and can be type casted to any type."</t>
  </si>
  <si>
    <t>PC_016</t>
  </si>
  <si>
    <t xml:space="preserve">Reverse Engineered Design</t>
  </si>
  <si>
    <t xml:space="preserve">Choose a non-Human asset on the battlefield, create a &lt;u&gt;transient&lt;/u&gt; (If it would enter a discard, instead remove it from the game.) copy of it.</t>
  </si>
  <si>
    <t xml:space="preserve">"Take it apart, put another together.. pretty much my thing." &lt;p&gt;-- Jonathan Arrigotti.&lt;/p&gt;</t>
  </si>
  <si>
    <t>PC_017</t>
  </si>
  <si>
    <t xml:space="preserve">Scout Drone</t>
  </si>
  <si>
    <t xml:space="preserve">Drone Spy</t>
  </si>
  <si>
    <t xml:space="preserve">&lt;center&gt;(A deck may have any number of ~s in it.)&lt;br/&gt;&lt;u&gt;Exchange [P]&lt;/u&gt; (Pay [P], Discard ~ from your hand: Draw a card.), &lt;u&gt;Flying&lt;/u&gt; (~ can only be intercepted by assets with ranged or flying. If ~ is intercepting you may choose another combatant or commander you control, that is not also intercepting, to take the damage instead.)&lt;/center&gt;</t>
  </si>
  <si>
    <t>PC_018</t>
  </si>
  <si>
    <t xml:space="preserve">Their Password was 'password'</t>
  </si>
  <si>
    <t xml:space="preserve">Choose a card to &lt;u&gt;hack&lt;/u&gt; (The specified card's owner discards it, none of its effects happen.) with &lt;u&gt;generalized cost&lt;/u&gt; (The cost of the card if all typed symbols were replaced with generic numbers. E.x. Their Password was 'password' has a generalized cost of [1].) [2] or less.</t>
  </si>
  <si>
    <t xml:space="preserve">"When I was a little girl, Felicity Smoak was always my hero." &lt;p&gt;-- Sara Anthony.&lt;/p&gt;</t>
  </si>
  <si>
    <t>PC_019</t>
  </si>
  <si>
    <t xml:space="preserve">Evasive Fugitive</t>
  </si>
  <si>
    <t xml:space="preserve">Human Civilian Criminal</t>
  </si>
  <si>
    <t xml:space="preserve">&lt;center&gt;&lt;u&gt;Subterfuge&lt;/u&gt; (Damage dealt by this card, doesn't cause your opponents to draw cards.)&lt;p&gt;~ can't be intercepted, unless an opponent controls an unexhausted source generator.&lt;/p&gt;&lt;/center&gt;</t>
  </si>
  <si>
    <t>PC_020</t>
  </si>
  <si>
    <t xml:space="preserve">Incremental Attack</t>
  </si>
  <si>
    <t xml:space="preserve">&lt;center&gt;&lt;u&gt;Advantageous&lt;/u&gt; (When ~ resolves, draw a card.)&lt;/center&gt;&lt;p&gt;&lt;u&gt;Effect Hack&lt;/u&gt; (Choose an effect on the stack; send it to its owner's discard, none of its effects happen.), unless its controller pays &lt;u&gt;[X]&lt;/u&gt; ([X] is 1 plus the number of cards named ~ that have been deployed this game.)&lt;/p&gt;</t>
  </si>
  <si>
    <t>PC_021</t>
  </si>
  <si>
    <t>Skiddy</t>
  </si>
  <si>
    <t xml:space="preserve">Human Child Hacker</t>
  </si>
  <si>
    <t xml:space="preserve">&lt;center&gt;&lt;u&gt;Hacker&lt;/u&gt; (If ~ would deal damage to a commander, its owner instead puts that many cards from their deck into their discard.)&lt;/center&gt;</t>
  </si>
  <si>
    <t>PC_022</t>
  </si>
  <si>
    <t xml:space="preserve">Annoying Neighbor</t>
  </si>
  <si>
    <t xml:space="preserve">Human Child Civilian</t>
  </si>
  <si>
    <t xml:space="preserve">&lt;center&gt;Each player's maximum hand size is reduced by 1.&lt;/center&gt;</t>
  </si>
  <si>
    <t>PC_023</t>
  </si>
  <si>
    <t>PC_024</t>
  </si>
  <si>
    <t>RBG</t>
  </si>
  <si>
    <t xml:space="preserve">ProtoSys Laboratory</t>
  </si>
  <si>
    <t>Red</t>
  </si>
  <si>
    <t xml:space="preserve">Entropy Source</t>
  </si>
  <si>
    <t xml:space="preserve">&lt;center&gt;(Generators are not assets or effects. You may only play ~ whenever you have the option to hire a generator, instead of hiring any other card as a generator. &lt;b&gt;A deck may have any number of ~s in it.&lt;/b&gt;)&lt;br/&gt;&lt;u&gt;Quick Hire&lt;/u&gt; (When ~ is hired as a generator, it can exhaust as soon as it is hired.)&lt;/center&gt;&lt;p&gt;[T]: Add [R].&lt;/p&gt;</t>
  </si>
  <si>
    <t>OBG</t>
  </si>
  <si>
    <t xml:space="preserve">City Slums</t>
  </si>
  <si>
    <t>Unrest</t>
  </si>
  <si>
    <t xml:space="preserve">&lt;center&gt;(Generators are not assets or effects. You may only play ~ whenever you have the option to hire a generator, instead of hiring any other card as a generator. &lt;b&gt;A deck may have any number of ~ in it.&lt;/b&gt;)&lt;br/&gt;&lt;u&gt;Quick Hire&lt;/u&gt; (When ~ is hired as a generator, it can exhaust as soon as it is hired.)&lt;/center&gt;&lt;p&gt;[T]: Add [O].&lt;/p&gt;</t>
  </si>
  <si>
    <t>YBG</t>
  </si>
  <si>
    <t xml:space="preserve">Lunar Colony Control Outpost</t>
  </si>
  <si>
    <t xml:space="preserve">&lt;center&gt;(Generators are not assets or effects. You may only play ~ whenever you have the option to hire a generator, instead of hiring any other card as a generator. &lt;b&gt;A deck may have any number of ~s in it.&lt;/b&gt;)&lt;br/&gt;&lt;u&gt;Quick Hire&lt;/u&gt; (When ~ is hired as a generator, it can exhaust as soon as it is hired.)&lt;/center&gt;&lt;p&gt;[T]: Add [Y].&lt;/p&gt;</t>
  </si>
  <si>
    <t>GBG</t>
  </si>
  <si>
    <t xml:space="preserve">Agricultural Tower</t>
  </si>
  <si>
    <t xml:space="preserve">Vitality Source</t>
  </si>
  <si>
    <t xml:space="preserve">&lt;center&gt;(Generators are not assets or effects. You may only play ~ whenever you have the option to hire a generator, instead of hiring any other card as a generator. &lt;b&gt;A deck may have any number of ~s in it.&lt;/b&gt;)&lt;br/&gt;&lt;u&gt;Quick Hire&lt;/u&gt; (When ~ is hired as a generator, it can exhaust as soon as it is hired.)&lt;/center&gt;&lt;p&gt;[T]: Add [G].&lt;/p&gt;</t>
  </si>
  <si>
    <t>BBG</t>
  </si>
  <si>
    <t xml:space="preserve">Precinct Headquarters</t>
  </si>
  <si>
    <t>Order</t>
  </si>
  <si>
    <t xml:space="preserve">&lt;center&gt;(Generators are not assets or effects. You may only play ~ whenever you have the option to hire a generator, instead of hiring any other card as a generator. &lt;b&gt;A deck may have any number of ~ in it.&lt;/b&gt;)&lt;br/&gt;&lt;u&gt;Quick Hire&lt;/u&gt; (When ~ is hired as a generator, it can exhaust as soon as it is hired.)&lt;/center&gt;&lt;p&gt;[T]: Add [B].&lt;/p&gt;</t>
  </si>
  <si>
    <t>PBG</t>
  </si>
  <si>
    <t xml:space="preserve">Stargate Project Office</t>
  </si>
  <si>
    <t>Purple</t>
  </si>
  <si>
    <t>Intrigue</t>
  </si>
  <si>
    <t xml:space="preserve">&lt;center&gt;(Generators are not assets or effects. You may only play ~ whenever you have the option to hire a generator, instead of hiring any other card as a generator. &lt;b&gt;A deck may have any number of ~s in it.&lt;/b&gt;)&lt;br/&gt;&lt;u&gt;Quick Hire&lt;/u&gt; (When ~ is hired as a generator, it can exhaust as soon as it is hired.)&lt;/center&gt;&lt;p&gt;[T]: Add [P].&lt;/p&gt;</t>
  </si>
  <si>
    <t>CBG</t>
  </si>
  <si>
    <t>Substation</t>
  </si>
  <si>
    <t>Source</t>
  </si>
  <si>
    <t xml:space="preserve">&lt;center&gt;(Generators are not assets or effects. You may only play ~ whenever you have the option to hire a generator, instead of hiring any other card as a generator. &lt;b&gt;A deck may have any number of ~s in it.&lt;/b&gt;)&lt;br/&gt;&lt;u&gt;Quick Hire&lt;/u&gt; (When ~ is hired as a generator, it can exhaust as soon as it is hired.)&lt;/center&gt;&lt;p&gt;[T]: Add [C].&lt;/p&gt;</t>
  </si>
  <si>
    <t>C_CMDR</t>
  </si>
  <si>
    <t>P.O.T.U.S</t>
  </si>
  <si>
    <t xml:space="preserve">Human Civilian Leader</t>
  </si>
  <si>
    <t xml:space="preserve">&lt;center&gt;(Becomes &lt;i&gt;'Executive Execution'&lt;/i&gt; if you already control ~.)&lt;br/&gt;&lt;u&gt;Advantageous&lt;/u&gt; (When ~ resolves, draw a card.)&lt;/center&gt;&lt;p&gt;&lt;b&gt;&lt;i&gt;As Commander&lt;/i&gt; --&lt;/b&gt; Your maximum hand size is increased by 1.&lt;/p&gt;&lt;p&gt;&lt;b&gt;&lt;i&gt;As Asset&lt;/i&gt; --&lt;/b&gt; If ~ is in your opening hand, you may reveal it. If you do, you go first (If both players reveal ~, the player who was to go first previously goes first as normal.)&lt;/p&gt;</t>
  </si>
  <si>
    <t xml:space="preserve">"If Canada continues its authoritarian control over the information its citizens are allowed to receive, we will be forced to take decisive action."</t>
  </si>
  <si>
    <t>C_CMDRb</t>
  </si>
  <si>
    <t xml:space="preserve">Executive Execution</t>
  </si>
  <si>
    <t>8</t>
  </si>
  <si>
    <t xml:space="preserve">&lt;center&gt;(This effect can only be deployed if you control a renowned asset. Banked energy can't be spent to deploy renowned cards.)&lt;/center&gt;&lt;p&gt;Kill a combatant of your choice.&lt;/p&gt;&lt;p&gt;&lt;u&gt;Personal&lt;/u&gt; (Shuffle &lt;i&gt;'P.O.T.U.S'&lt;/i&gt; into your deck.)&lt;/p&gt;</t>
  </si>
  <si>
    <t>CR_001</t>
  </si>
  <si>
    <t xml:space="preserve">Power Grid</t>
  </si>
  <si>
    <t xml:space="preserve">&lt;center&gt;(Generators are not assets or effects. You may only play ~ whenever you have the option to hire a generator, instead of hiring any other card as a generator. &lt;b&gt;If ~ is not drawn, it becomes &lt;i&gt;'Field Generator'&lt;/i&gt;&lt;/b&gt;.)&lt;/center&gt;&lt;p&gt;When you hire ~,  &lt;u&gt;forfeit&lt;/u&gt; (Put the specified card into its owner's discard.) it unless you pay [3].&lt;/p&gt;&lt;p&gt;[T]: Add &lt;u&gt;[X]&lt;/u&gt; (X is the number cards named ~ on the battlefield.)&lt;/p&gt;</t>
  </si>
  <si>
    <t xml:space="preserve">"How did people live without electricity?" &lt;p&gt;-- Sara Anthony&lt;/p&gt;</t>
  </si>
  <si>
    <t>CR_001b</t>
  </si>
  <si>
    <t xml:space="preserve">Field Generator</t>
  </si>
  <si>
    <t xml:space="preserve">(You may play ~ whenever you have the option to hire a generator, instead of hiring any other card as a generator, or you may deploy it as an asset.)&lt;p&gt;[T]: Add [2].&lt;/p&gt;</t>
  </si>
  <si>
    <t>CR_002</t>
  </si>
  <si>
    <t>Sadness</t>
  </si>
  <si>
    <t>__</t>
  </si>
  <si>
    <t xml:space="preserve">Latent Emotion</t>
  </si>
  <si>
    <t xml:space="preserve">&lt;center&gt;([_] can be paid with [2] or [Y].)&lt;/center&gt;&lt;p&gt;Whenever a player discards down to their maximum hand size, their commander loses X (X is the number of cards discarded) loyalty.&lt;/p&gt;&lt;p&gt;(~ has &lt;u&gt;generalized cost&lt;/u&gt; [4].)&lt;/p&gt;</t>
  </si>
  <si>
    <t xml:space="preserve">Yellow Generic</t>
  </si>
  <si>
    <t>CR_004</t>
  </si>
  <si>
    <t xml:space="preserve">Lunar Water Reserves</t>
  </si>
  <si>
    <t>&lt;u&gt;Discovery&lt;/u&gt;</t>
  </si>
  <si>
    <t xml:space="preserve">&lt;center&gt;(When ~ enters the battlefield or at the beginning of your turn, progress to the next phase unless the final phase has been reached.)&lt;/center&gt;&lt;p&gt;&lt;b&gt;&lt;i&gt;1-3)&lt;/i&gt;&lt;/b&gt; Create &lt;u&gt;X&lt;/u&gt; (X is the number of turns ~ has been on the battlefield) &lt;u&gt;transient&lt;/u&gt; (If it would enter a discard, instead remove it from the game.) &lt;i&gt;'Explorer Drone'&lt;/i&gt;s in your hand.&lt;/p&gt;&lt;p&gt;&lt;b&gt;&lt;i&gt;Final)&lt;/i&gt;&lt;/b&gt; At the beginning of each turn, your commander gains 1 loyalty.&lt;/p&gt;</t>
  </si>
  <si>
    <t>CR_005</t>
  </si>
  <si>
    <t xml:space="preserve">Contrived Accusations</t>
  </si>
  <si>
    <t>XX</t>
  </si>
  <si>
    <t xml:space="preserve">&lt;p&gt;Choose an exhausted combatant; remove it from the game unless its controller pays [X].&lt;/p&gt;&lt;p&gt;If they pay the cost, shuffle a &lt;i&gt;'Doubt'&lt;/i&gt; into your deck.&lt;/p&gt;</t>
  </si>
  <si>
    <t>CR_006</t>
  </si>
  <si>
    <t xml:space="preserve">Grid Overloader</t>
  </si>
  <si>
    <t>Augmented</t>
  </si>
  <si>
    <t xml:space="preserve">If a generator would produce more than 1 energy, its owner's commander loses that much loyalty.</t>
  </si>
  <si>
    <t>CR_007</t>
  </si>
  <si>
    <t xml:space="preserve">Planned Ejection</t>
  </si>
  <si>
    <t xml:space="preserve">&lt;center&gt;&lt;u&gt;Append to Opponent's Effect [5]&lt;/u&gt; (As an opponent deploys an effect you may reveal ~ and pay [5]. If you do add this card's effects as it resolves; it loses those effects once it leaves the stack.)&lt;/center&gt;&lt;p&gt;Choose an asset; until end of turn, set it aside.&lt;/p&gt;</t>
  </si>
  <si>
    <t>CU_001</t>
  </si>
  <si>
    <t xml:space="preserve">Public Transportation</t>
  </si>
  <si>
    <t xml:space="preserve">&lt;center&gt;&lt;u&gt;Vehicle&lt;/u&gt; (When ~ enters the battlefield, you may choose another asset to attach it to. The combined unit has all effects of both assets, and the highest attack power, health, and ranged status of the two.), &lt;u&gt;Rush&lt;/u&gt; (~ can attack and intercept as soon as it resolves, but it can't be explicitly exhausted that turn.)&lt;/center&gt;</t>
  </si>
  <si>
    <t>CU_002</t>
  </si>
  <si>
    <t xml:space="preserve">Standard Issue Big Gun</t>
  </si>
  <si>
    <t xml:space="preserve">Equipment &lt;u&gt;Gun&lt;/u&gt;</t>
  </si>
  <si>
    <t xml:space="preserve">&lt;center&gt;&lt;u&gt;Ammo 2&lt;/u&gt;, &lt;u&gt;Gun&lt;/u&gt; (As long as ~ has ammo, the attached asset is ranged.), &lt;u&gt;Tradeable&lt;/u&gt;&lt;/center&gt;&lt;p&gt;When ~ enters the battlefield, choose an asset to attach it to.&lt;/p&gt;&lt;p&gt;As long as ~ has ammo, the attached asset gets +5/+0 and "Whenever this asset kills a combatant, each combatant adjacent to the killed asset permanently loses -1/-1."&lt;/p&gt;</t>
  </si>
  <si>
    <t xml:space="preserve">"What even is that thing?"</t>
  </si>
  <si>
    <t>CU_003</t>
  </si>
  <si>
    <t xml:space="preserve">Space Shuttle</t>
  </si>
  <si>
    <t xml:space="preserve">&lt;center&gt;&lt;u&gt;Vehicle&lt;/u&gt; (When ~ enters the battlefield, you may choose another asset to attach it to. The combined unit has all effects of both assets, and the highest attack power, health, and ranged status of the two.), &lt;u&gt;Spacecraft&lt;/u&gt; (Space Shuttle can only intercept or be intercepted by assets with spacecraft.)&lt;/center&gt;</t>
  </si>
  <si>
    <t>CU_005</t>
  </si>
  <si>
    <t xml:space="preserve">New Hire Welcoming Party</t>
  </si>
  <si>
    <t xml:space="preserve">&lt;p&gt;Whenever a combatant enters the battlefield, you may attach ~ to it.&lt;/p&gt;&lt;p&gt;Whenever you hire a card as a generator, until end of turn, the attached asset gets +2/+2.&lt;/p&gt;</t>
  </si>
  <si>
    <t>CU_006</t>
  </si>
  <si>
    <t xml:space="preserve">Business Laptop</t>
  </si>
  <si>
    <t xml:space="preserve">Equipment Laptop</t>
  </si>
  <si>
    <t xml:space="preserve">&lt;center&gt;&lt;u&gt;Tradeable&lt;/u&gt; (Once each turn, you may pay ~'s cost, if you do choose another asset; attach ~ to it.)&lt;/center&gt;&lt;p&gt;When ~ enters the battlefield, choose an asset to attach it to.&lt;/p&gt;&lt;p&gt;Whenever the attached asset deals combat damage to a commander, draw a card.&lt;/p&gt;</t>
  </si>
  <si>
    <t>CU_007</t>
  </si>
  <si>
    <t xml:space="preserve">Roadside Bomb</t>
  </si>
  <si>
    <t>Bomb</t>
  </si>
  <si>
    <t xml:space="preserve">The next time any number of vehicles attack, you may kill one of them, then &lt;u&gt;forfeit&lt;/u&gt; (Put the specified card into its owner's discard.) ~.</t>
  </si>
  <si>
    <t>CU_008</t>
  </si>
  <si>
    <t xml:space="preserve">Fighter Jet</t>
  </si>
  <si>
    <t xml:space="preserve">&lt;u&gt;Vehicle&lt;/u&gt; Plane</t>
  </si>
  <si>
    <t xml:space="preserve">&lt;center&gt;&lt;u&gt;Flying&lt;/u&gt;, &lt;u&gt;Formation&lt;/u&gt; (Cards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 &lt;u&gt;Vehicle&lt;/u&gt;&lt;/center&gt;</t>
  </si>
  <si>
    <t>CU_009</t>
  </si>
  <si>
    <t xml:space="preserve">Crypt Guard</t>
  </si>
  <si>
    <t xml:space="preserve">&lt;center&gt;Cards in discards can't be chosen or deployed.&lt;/center&gt;</t>
  </si>
  <si>
    <t>CU_010</t>
  </si>
  <si>
    <t>Blackmailer</t>
  </si>
  <si>
    <t>AI</t>
  </si>
  <si>
    <t xml:space="preserve">&lt;p&gt;When ~ enters the battlefield, name a card; effects of the named card can't be activated.&lt;/p&gt;&lt;p&gt;When ~ is put into a vehicle, your opponents reveal their hands.&lt;/p&gt;</t>
  </si>
  <si>
    <t>CU_011</t>
  </si>
  <si>
    <t xml:space="preserve">Anti-Orbital Gun</t>
  </si>
  <si>
    <t xml:space="preserve">&lt;center&gt;&lt;u&gt;Tradeable&lt;/u&gt; (Once each turn, you may pay ~'s cost, if you do choose another combatant; attach ~ to it.)&lt;/center&gt;&lt;p&gt;When ~ enters the battlefield, attach it to a combatant of your choice.&lt;/p&gt;&lt;p&gt;The attached asset gets +1/+0 and &lt;u&gt;anti-orbital&lt;/u&gt; (~ can intercept assets with spacecraft.)&lt;/p&gt;</t>
  </si>
  <si>
    <t>CU_012</t>
  </si>
  <si>
    <t>Scrapyard</t>
  </si>
  <si>
    <t xml:space="preserve">&lt;center&gt;(Generators are not assets or effects. You may only play ~ whenever you have the option to hire a generator, instead of hiring any other card as a generator.)&lt;/center&gt;&lt;p&gt;[T]: Add [C].&lt;/p&gt;&lt;p&gt;&lt;u&gt;Once&lt;/u&gt; (As you activate this effect, remove it from this card), [T]: Choose a generator to become an exhausted ~.&lt;/p&gt;</t>
  </si>
  <si>
    <t>CU_013</t>
  </si>
  <si>
    <t xml:space="preserve">Unwarranted Citizen's Arrest</t>
  </si>
  <si>
    <t xml:space="preserve">&lt;center&gt;&lt;u&gt;Warrant&lt;/u&gt; (When you deploy ~, shuffle an 'Incarceration' into your deck.)&lt;/center&gt;&lt;p&gt;Choose a permanent an opponent controls; return it to its owner's hand.&lt;/p&gt;</t>
  </si>
  <si>
    <t>CU_014</t>
  </si>
  <si>
    <t xml:space="preserve">Fully Automatic Assault Rifle</t>
  </si>
  <si>
    <t xml:space="preserve">&lt;center&gt;&lt;u&gt;Ammo 15&lt;/u&gt; (Whenever the attached asset attacks or intercepts, reduce ~'s ammo by 1 [to a minimum of 0.] Instead of expending an ammo you may treat this as if it had ammo 0 until end of turn.), &lt;u&gt;Gun&lt;/u&gt; (As long as this card has ammo, the attached asset is ranged.), &lt;u&gt;Tradeable&lt;/u&gt;&lt;/center&gt;&lt;p&gt;When this card enters the battlefield, choose an asset to attach it to.&lt;/p&gt;&lt;p&gt;As long as this card has ammo, the first time the attached asset attacks each turn, it doesn't exhaust.&lt;/p&gt;</t>
  </si>
  <si>
    <t>CU_015</t>
  </si>
  <si>
    <t xml:space="preserve">Shim the Cuffs</t>
  </si>
  <si>
    <t xml:space="preserve">&lt;center&gt;Choose an equipment card; its owner &lt;u&gt;forfeits&lt;/u&gt; (Put the specified card into its owner's discard.) it.&lt;/center&gt;</t>
  </si>
  <si>
    <t>CU_016</t>
  </si>
  <si>
    <t>Reload</t>
  </si>
  <si>
    <t xml:space="preserve">&lt;center&gt;&lt;u&gt;Response&lt;/u&gt; (You may deploy ~ in response to other cards and effects.)&lt;/center&gt;&lt;p&gt;Choose a gun; restore all of it's ammo.&lt;/p&gt;&lt;p&gt;A deck many run any number of ~.&lt;/p&gt;</t>
  </si>
  <si>
    <t>CC_001</t>
  </si>
  <si>
    <t xml:space="preserve">Release the Quacken!</t>
  </si>
  <si>
    <t>X</t>
  </si>
  <si>
    <t xml:space="preserve">&lt;p&gt;Create [X] &lt;i&gt;'Duck'&lt;/i&gt;s on the battlefield.&lt;/p&gt;</t>
  </si>
  <si>
    <t>https://www.youtube.com/watch?v=7GwGu8QVpLU</t>
  </si>
  <si>
    <t>CC_002</t>
  </si>
  <si>
    <t xml:space="preserve">Hit em' With The Butt-End</t>
  </si>
  <si>
    <t xml:space="preserve">Style &lt;u&gt;Response&lt;/u&gt;</t>
  </si>
  <si>
    <t xml:space="preserve">Choose an asset or player; it takes 1 damage from ~. If it would die as a result draw a card.</t>
  </si>
  <si>
    <t>CC_003</t>
  </si>
  <si>
    <t xml:space="preserve">Lunar Citizen</t>
  </si>
  <si>
    <t xml:space="preserve">Human Civilian Astronaut</t>
  </si>
  <si>
    <t xml:space="preserve">&lt;i&gt;&lt;color=#34343A&gt;"Out here you have to be tough to survive kiddo."&lt;/color&gt;&lt;/i&gt;</t>
  </si>
  <si>
    <t xml:space="preserve">"Out here you have to be tough to survive kiddo."</t>
  </si>
  <si>
    <t>CC_004</t>
  </si>
  <si>
    <t>Shuffle</t>
  </si>
  <si>
    <t xml:space="preserve">&lt;center&gt;&lt;u&gt;Advantageous&lt;/u&gt; (When ~ resolves, draw a card.)&lt;/center&gt;&lt;p&gt;Choose a player to shuffle their deck.&lt;/p&gt;</t>
  </si>
  <si>
    <t>CC_005</t>
  </si>
  <si>
    <t xml:space="preserve">Explorer Drone</t>
  </si>
  <si>
    <t xml:space="preserve">&lt;center&gt;When ~ enters a discard, draw a card.&lt;/center&gt;</t>
  </si>
  <si>
    <t>CC_006</t>
  </si>
  <si>
    <t xml:space="preserve">Pirate Suit</t>
  </si>
  <si>
    <t xml:space="preserve">Equipment Space-Suit Exosuit</t>
  </si>
  <si>
    <t xml:space="preserve">&lt;center&gt;&lt;u&gt;Tradeable&lt;/u&gt; (Once each turn, you may pay ~'s cost, if you do choose another asset; attach ~ to it.)&lt;/center&gt;&lt;p&gt;When ~ enters the battlefield, attach it to a combatant of your choice.&lt;/p&gt;&lt;p&gt;The attached combatant is a ranged 4/4. It gets an additional +2/+2 if you control an exhausted Source generator.&lt;/p&gt;&lt;p&gt;If the attached asset would die, &lt;u&gt;forfeit&lt;/u&gt; (Put the specified card into its owner's discard.) ~.&lt;/p&gt;</t>
  </si>
  <si>
    <t>CC_007</t>
  </si>
  <si>
    <t xml:space="preserve">Antique Sherman</t>
  </si>
  <si>
    <t xml:space="preserve">They were works of marvel for their time..</t>
  </si>
  <si>
    <t>CC_008</t>
  </si>
  <si>
    <t xml:space="preserve">Power Source</t>
  </si>
  <si>
    <t xml:space="preserve">&lt;center&gt;(Generators are not assets or effects. You may only play ~ whenever you have the option to hire a generator, instead of hiring any other card as a generator. &lt;b&gt;A deck may run any number of ~s.&lt;/b&gt;)&lt;/center&gt;&lt;p&gt;[T]: Add [C].&lt;/p&gt;&lt;p&gt;[1], [T]: Choose a generator to exhaust.&lt;/p&gt;</t>
  </si>
  <si>
    <t>CC_009</t>
  </si>
  <si>
    <t xml:space="preserve">Shift Change</t>
  </si>
  <si>
    <t xml:space="preserve">Choose any number of players; they shuffle their hands into their decks, then draw the same number of cards.</t>
  </si>
  <si>
    <t>CC_010</t>
  </si>
  <si>
    <t xml:space="preserve">Internet Search</t>
  </si>
  <si>
    <t xml:space="preserve">Draw 2 cards, then put at least 2 cards from your hand on the top or bottom of your deck.</t>
  </si>
  <si>
    <t>CC_011</t>
  </si>
  <si>
    <t>Secretary</t>
  </si>
  <si>
    <t>CC_012</t>
  </si>
  <si>
    <t xml:space="preserve">Ballistic Pistol</t>
  </si>
  <si>
    <t xml:space="preserve">&lt;center&gt;&lt;u&gt;Ammo 10&lt;/u&gt; (Whenever the attached asset attacks or intercepts, reduce ~'s ammo by 1 [to a minimum of 0.] Instead of expending an ammo you may treat ~ as if it had ammo 0 until end of turn.), &lt;u&gt;Gun&lt;/u&gt; (As long as ~ has ammo, the attached asset is ranged.), &lt;u&gt;Tradeable&lt;/u&gt;&lt;/center&gt;&lt;p&gt;When ~ enters the battlefield, choose an asset to attach it to.&lt;/p&gt;&lt;p&gt;As long as ~ has ammo, the attached asset gets +1/+0.&lt;/p&gt;</t>
  </si>
  <si>
    <t>CC_013</t>
  </si>
  <si>
    <t>Taunt</t>
  </si>
  <si>
    <t xml:space="preserve">&lt;p&gt;Choose a combatant; &lt;u&gt;taunt&lt;/u&gt; (The next time it has a chance to attack, it must attack) it.&lt;/p&gt;&lt;p&gt;You may pay [1], if you do &lt;u&gt;taunt&lt;/u&gt; both combatants adjacent to the chosen combatant&lt;/p&gt;</t>
  </si>
  <si>
    <t>CC_014</t>
  </si>
  <si>
    <t xml:space="preserve">Gentleman's Wager</t>
  </si>
  <si>
    <t xml:space="preserve">Chose another player; then reveal 4 random cards from your deck, that opponent chooses 2 for you to draw, discard the rest.</t>
  </si>
  <si>
    <t>CC_015</t>
  </si>
  <si>
    <t xml:space="preserve">Training Dummy</t>
  </si>
  <si>
    <t xml:space="preserve">Virtual Drone</t>
  </si>
  <si>
    <t>CC_016</t>
  </si>
  <si>
    <t xml:space="preserve">Virtual Augmentation</t>
  </si>
  <si>
    <t xml:space="preserve">Choose a combatant; it permanently gains +1/+1.</t>
  </si>
  <si>
    <t>RR_009</t>
  </si>
  <si>
    <t>Recycle</t>
  </si>
  <si>
    <t xml:space="preserve">&lt;center&gt;&lt;u&gt;Brainwash&lt;/u&gt; (Damage dealt by ~ is gained as loyalty.)&lt;/center&gt;&lt;p&gt;Choose a player; they discard a card of your choice.&lt;ul&gt;If that card is a combatant, draw a card and your commander loses 1 loyalty.&lt;br/&gt;If that card is an effect, deal 3 damage to their commander.&lt;/ul&gt;&lt;/p&gt;</t>
  </si>
  <si>
    <t>RR_010</t>
  </si>
  <si>
    <t xml:space="preserve">Chemical Grenade</t>
  </si>
  <si>
    <t xml:space="preserve">&lt;p&gt;When ~ enters the battlefield, you may attach it to a combatant.&lt;/p&gt;&lt;p&gt;&lt;u&gt;Throw&lt;/u&gt; (Activate this ability only if attached to a combatant.), &lt;u&gt;Forfeit&lt;/u&gt; (Put the specified card into its owner's discard.) ~: Choose a combatant; the chosen combatant and adjacent combatants permanently get -1/-1.&lt;/p&gt;&lt;p&gt;&lt;u&gt;Forfeit&lt;/u&gt; ~: Add [R][R][R].&lt;/p&gt;</t>
  </si>
  <si>
    <t>RU_017</t>
  </si>
  <si>
    <t xml:space="preserve">Economic Suicide</t>
  </si>
  <si>
    <t xml:space="preserve">&lt;center&gt;&lt;u&gt;Exchange [1]&lt;/u&gt; (Pay [1], Discard ~ from your hand: Draw a card.)&lt;/center&gt;&lt;p&gt;Choose one (round down):&lt;ul&gt;Your commander loses half its loyalty.&lt;br/&gt;Discard half of the cards in your hand.&lt;br/&gt;&lt;u&gt;Forfeit&lt;/u&gt; (Put the specified card into its owner's discard.) half of the assets you control.&lt;/ul&gt;&lt;/p&gt;</t>
  </si>
  <si>
    <t>RC_025</t>
  </si>
  <si>
    <t xml:space="preserve">Sputtering Generator</t>
  </si>
  <si>
    <t xml:space="preserve">&lt;center&gt;(You may play ~ whenever you have the option to hire a generator, instead of hiring any other card as a generator, or you may deploy it as an asset.)&lt;/center&gt;&lt;p&gt;[T]: Add X (X is 3 minus the number of turns ~ has been on the battlefield [3 - *]) [R].&lt;/p&gt;</t>
  </si>
  <si>
    <t>YC_025</t>
  </si>
  <si>
    <t xml:space="preserve">Battle Angel</t>
  </si>
  <si>
    <t xml:space="preserve">Augmented Female Gladiator</t>
  </si>
  <si>
    <t xml:space="preserve">&lt;center&gt;&lt;u&gt;Brutal&lt;/u&gt; (~ deals combat damage before assets without brutal.), &lt;u&gt;Rush&lt;/u&gt; (~ can attack and intercept as soon as it resolves, but it can't be explicitly exhausted that turn.)&lt;/center&gt;</t>
  </si>
  <si>
    <t xml:space="preserve">"The screams of the fans as I leave my latest opponent lying in a pool of their own blood and piss? That's what I live for man!"</t>
  </si>
  <si>
    <t>YU_017</t>
  </si>
  <si>
    <t xml:space="preserve">Burn the Ring</t>
  </si>
  <si>
    <t xml:space="preserve">&lt;p&gt;~ costs [1] less to deploy if you didn't go first.&lt;/p&gt;&lt;p&gt;Choose up to 2 assets and/or players; ~ deals 5 damage split between them.&lt;/p&gt;</t>
  </si>
  <si>
    <t xml:space="preserve">"When the girls don't make a fight interesting enough I turn up the heat." &lt;p&gt;-- Kyoko, Battlemaster&lt;/p&gt;</t>
  </si>
  <si>
    <t>YR_010</t>
  </si>
  <si>
    <t>Xenophobia</t>
  </si>
  <si>
    <t xml:space="preserve">Choose an opponent and a combatant subtype; That opponent reveals their hand, then their commander takes 4 damage for each card of the chosen type in their hand.</t>
  </si>
  <si>
    <t>YR_011</t>
  </si>
  <si>
    <t xml:space="preserve">Plasma Grenade</t>
  </si>
  <si>
    <t xml:space="preserve">&lt;p&gt;When ~ enters the battlefield, you may attach it to a combatant.&lt;/p&gt;&lt;p&gt;&lt;u&gt;Throw&lt;/u&gt; (Activate this ability only if attached to a combatant.), &lt;u&gt;Forfeit&lt;/u&gt; (Put the specified card into its owner's discard.) ~: Choose a combatant; until end of turn, it loses half its health.&lt;/p&gt;&lt;p&gt;&lt;u&gt;Forfeit&lt;/u&gt; ~: Add [Y][Y][Y].&lt;/p&gt;</t>
  </si>
  <si>
    <t>BC_025</t>
  </si>
  <si>
    <t xml:space="preserve">Internet Service Fees</t>
  </si>
  <si>
    <t xml:space="preserve">&lt;u&gt;Response&lt;/u&gt; Tax</t>
  </si>
  <si>
    <t xml:space="preserve">&lt;center&gt;&lt;u&gt;Tax&lt;/u&gt; (When ~ resolves, if it is not a copy, copy it for each other card and effect on the stack.)&lt;/center&gt;&lt;p&gt;Choose an opponent; draw a card unless they pay [2].&lt;/p&gt;</t>
  </si>
  <si>
    <t>BR_009</t>
  </si>
  <si>
    <t xml:space="preserve">Operation 11.4</t>
  </si>
  <si>
    <t>5BBBBB</t>
  </si>
  <si>
    <t xml:space="preserve">&lt;center&gt;(This effect can only be deployed if you control a renowned asset. Banked energy can't be spent to deploy renowned cards.)&lt;/center&gt;&lt;p&gt;Choose a player; you control them during their next turn.&lt;/p&gt;</t>
  </si>
  <si>
    <t>BR_010</t>
  </si>
  <si>
    <t>Flashbang</t>
  </si>
  <si>
    <t xml:space="preserve">&lt;p&gt;When ~ enters the battlefield, you may attach it to a combatant.&lt;/p&gt;&lt;p&gt;&lt;u&gt;Throw&lt;/u&gt; (Activate this ability only if attached to a combatant.), &lt;u&gt;Forfeit&lt;/u&gt; (Put the specified card into its owner's discard.) ~: Choose a combatant; the chosen combatant and adjacent combatants become exhausted, they aren't refreshed for 1 turn.&lt;/p&gt;&lt;p&gt;&lt;u&gt;Forfeit&lt;/u&gt; ~: Add [B][B][B].&lt;/p&gt;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</si>
</sst>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9">
    <font>
      <sz val="10.000000"/>
      <color theme="1"/>
      <name val="Arial"/>
      <scheme val="minor"/>
    </font>
    <font>
      <color theme="1"/>
      <name val="Arial"/>
      <scheme val="minor"/>
    </font>
    <font>
      <color theme="1"/>
      <name val="Arial"/>
    </font>
    <font>
      <sz val="11.000000"/>
      <name val="Arial"/>
    </font>
    <font>
      <sz val="11.000000"/>
      <color rgb="FFF7981D"/>
      <name val="Arial"/>
      <scheme val="minor"/>
    </font>
    <font>
      <name val="Arial"/>
    </font>
    <font>
      <name val="&quot;Arial&quot;"/>
    </font>
    <font>
      <color rgb="FF222222"/>
      <name val="Arial"/>
    </font>
    <font>
      <u/>
      <color rgb="FF1155CC"/>
      <name val="Arial"/>
    </font>
  </fonts>
  <fills count="3">
    <fill>
      <patternFill patternType="none"/>
    </fill>
    <fill>
      <patternFill patternType="gray125"/>
    </fill>
    <fill>
      <patternFill patternType="solid">
        <fgColor indexed="65"/>
        <bgColor indexed="65"/>
      </patternFill>
    </fill>
  </fills>
  <borders count="1">
    <border>
      <left/>
      <right/>
      <top/>
      <bottom/>
      <diagonal/>
    </border>
  </borders>
  <cellStyleXfs count="1">
    <xf fontId="0" fillId="0" borderId="0" numFmtId="0" applyNumberFormat="1" applyFont="1" applyFill="1" applyBorder="1"/>
  </cellStyleXfs>
  <cellXfs count="19">
    <xf fontId="0" fillId="0" borderId="0" numFmtId="0" xfId="0"/>
    <xf fontId="1" fillId="0" borderId="0" numFmtId="0" xfId="0" applyFont="1"/>
    <xf fontId="1" fillId="0" borderId="0" numFmtId="49" xfId="0" applyNumberFormat="1" applyFont="1"/>
    <xf fontId="1" fillId="0" borderId="0" numFmtId="0" xfId="0" applyFont="1" applyAlignment="1">
      <alignment wrapText="1"/>
    </xf>
    <xf fontId="2" fillId="0" borderId="0" numFmtId="0" xfId="0" applyFont="1"/>
    <xf fontId="2" fillId="0" borderId="0" numFmtId="49" xfId="0" applyNumberFormat="1" applyFont="1"/>
    <xf fontId="3" fillId="2" borderId="0" numFmtId="0" xfId="0" applyFont="1" applyFill="1"/>
    <xf fontId="2" fillId="0" borderId="0" numFmtId="0" xfId="0" applyFont="1" applyAlignment="1">
      <alignment wrapText="1"/>
    </xf>
    <xf fontId="2" fillId="0" borderId="0" numFmtId="0" xfId="0" applyFont="1" applyAlignment="1">
      <alignment horizontal="right"/>
    </xf>
    <xf fontId="4" fillId="0" borderId="0" numFmtId="0" xfId="0" applyFont="1"/>
    <xf fontId="5" fillId="0" borderId="0" numFmtId="0" xfId="0" applyFont="1" applyAlignment="1">
      <alignment wrapText="1"/>
    </xf>
    <xf fontId="6" fillId="0" borderId="0" numFmtId="0" xfId="0" applyFont="1" applyAlignment="1">
      <alignment wrapText="1"/>
    </xf>
    <xf fontId="1" fillId="0" borderId="0" numFmtId="0" xfId="0" applyFont="1" applyAlignment="1">
      <alignment horizontal="left"/>
    </xf>
    <xf fontId="6" fillId="0" borderId="0" numFmtId="0" xfId="0" applyFont="1"/>
    <xf fontId="1" fillId="0" borderId="0" numFmtId="49" xfId="0" applyNumberFormat="1" applyFont="1" applyAlignment="1">
      <alignment horizontal="left"/>
    </xf>
    <xf fontId="5" fillId="2" borderId="0" numFmtId="0" xfId="0" applyFont="1" applyFill="1" applyAlignment="1">
      <alignment wrapText="1"/>
    </xf>
    <xf fontId="1" fillId="0" borderId="0" numFmtId="0" xfId="0" applyFont="1" quotePrefix="1"/>
    <xf fontId="7" fillId="2" borderId="0" numFmtId="0" xfId="0" applyFont="1" applyFill="1" applyAlignment="1">
      <alignment wrapText="1"/>
    </xf>
    <xf fontId="8" fillId="0" borderId="0" numFmt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adox" id="{FD847A04-F408-5B84-F3C1-B59052C2FFDF}" userId="paradox"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1" personId="{FD847A04-F408-5B84-F3C1-B59052C2FFDF}" id="{00AE005B-00AD-40B1-B219-00D8007B00CD}" done="0">
    <text xml:space="preserve">0_ is for tokens
z_ is for external (mtg, msem, etc...) cards
</text>
  </threadedComment>
  <threadedComment ref="H1" personId="{FD847A04-F408-5B84-F3C1-B59052C2FFDF}" id="{00BC002B-0078-4361-894F-007B00700035}" done="0">
    <text xml:space="preserve">(0-4 = common, 5-8 = uncommon, 9-10 = rare)
</text>
  </threadedComment>
  <threadedComment ref="I118" personId="{FD847A04-F408-5B84-F3C1-B59052C2FFDF}" id="{00A2002B-00CC-4CD0-B8D9-00610072009D}" done="0">
    <text xml:space="preserve">Give airdrop to assets too?
</text>
  </threadedComment>
  <threadedComment ref="B144" personId="{FD847A04-F408-5B84-F3C1-B59052C2FFDF}" id="{005F0091-0032-4B92-8A20-008300650046}" done="0">
    <text xml:space="preserve">Emergency Deployment Vehicle
</text>
  </threadedComment>
  <threadedComment ref="G154" personId="{FD847A04-F408-5B84-F3C1-B59052C2FFDF}" id="{004C000D-00A6-4E17-88A6-004B006A00AD}" done="0">
    <text xml:space="preserve">Marking this female a bad move?
</text>
  </threadedComment>
  <threadedComment ref="I155" personId="{FD847A04-F408-5B84-F3C1-B59052C2FFDF}" id="{009E0033-0087-4D01-8F48-005C00880016}" done="0">
    <text xml:space="preserve">Should this cost 6 to append?
</text>
  </threadedComment>
  <threadedComment ref="C156" personId="{FD847A04-F408-5B84-F3C1-B59052C2FFDF}" id="{00A7006C-000A-4D61-9921-00DF009400F9}" done="0">
    <text xml:space="preserve">Should this cost more? Maybe cost more if it is targeting a card you control?
</text>
  </threadedComment>
  <threadedComment ref="I157" personId="{FD847A04-F408-5B84-F3C1-B59052C2FFDF}" id="{00CF0061-002C-4A21-8200-009B00EF006F}" done="0">
    <text xml:space="preserve">Is making this card castable by any color busted?
</text>
  </threadedComment>
  <threadedComment ref="I174" personId="{FD847A04-F408-5B84-F3C1-B59052C2FFDF}" id="{006800FA-003A-4F52-AF4B-002D00AC0096}" done="0">
    <text xml:space="preserve">Is this a green card? Should it be purple?
</text>
  </threadedComment>
  <threadedComment ref="I175" personId="{FD847A04-F408-5B84-F3C1-B59052C2FFDF}" id="{00D70062-0013-44DD-B869-00DF005600C3}" done="0">
    <text xml:space="preserve">Should this only search for non-combatants?
</text>
  </threadedComment>
  <threadedComment ref="B218" personId="{FD847A04-F408-5B84-F3C1-B59052C2FFDF}" id="{00BA00AF-000D-4F4B-BE2C-00A1004100A7}" done="0">
    <text xml:space="preserve">More Specific Name?
</text>
  </threadedComment>
  <threadedComment ref="B225" personId="{FD847A04-F408-5B84-F3C1-B59052C2FFDF}" id="{000D00EC-001D-4277-820B-00BC004A00FC}" done="0">
    <text xml:space="preserve">Autonomous Logistics, Intelligence, and Vitality Envoy
</text>
  </threadedComment>
  <threadedComment ref="I229" personId="{FD847A04-F408-5B84-F3C1-B59052C2FFDF}" id="{00170083-00B6-4B54-9FCE-00BB001A00C9}" done="0">
    <text xml:space="preserve">Should this card say +1/+0 or +0/+1?
</text>
  </threadedComment>
  <threadedComment ref="B231" personId="{FD847A04-F408-5B84-F3C1-B59052C2FFDF}" id="{001D00C1-003D-4675-B253-00DB0062000C}" done="0">
    <text xml:space="preserve">Does this name make any sense?
</text>
  </threadedComment>
  <threadedComment ref="F231" personId="{FD847A04-F408-5B84-F3C1-B59052C2FFDF}" id="{006B0084-00D5-406F-B5E8-00250062007E}" done="0">
    <text xml:space="preserve">Does this card need to be renowned to avoid infinate healing loops?
</text>
  </threadedComment>
  <threadedComment ref="B251" personId="{FD847A04-F408-5B84-F3C1-B59052C2FFDF}" id="{002600A4-0075-405D-841B-00880040001F}" done="0">
    <text xml:space="preserve">To generic of a name?
</text>
  </threadedComment>
  <threadedComment ref="I267" personId="{FD847A04-F408-5B84-F3C1-B59052C2FFDF}" id="{002200FB-00C4-4615-8454-0041005F008F}" done="0">
    <text xml:space="preserve">The wording on Heal isn't great.
</text>
  </threadedComment>
  <threadedComment ref="I268" personId="{FD847A04-F408-5B84-F3C1-B59052C2FFDF}" id="{009200B9-00CD-4A14-9376-000C00D60026}" done="0">
    <text xml:space="preserve">This card is super useless, should it be able to intercept?
</text>
  </threadedComment>
  <threadedComment ref="A284" personId="{FD847A04-F408-5B84-F3C1-B59052C2FFDF}" id="{00D30009-00E0-4CB3-8FD8-005C00DE002F}" done="0">
    <text xml:space="preserve">Is this effect good enouph to be rare?
</text>
  </threadedComment>
  <threadedComment ref="B302" personId="{FD847A04-F408-5B84-F3C1-B59052C2FFDF}" id="{009500A3-000D-4606-BEBE-006900910020}" done="0">
    <text xml:space="preserve">Needs non-stolen name
</text>
  </threadedComment>
  <threadedComment ref="A311" personId="{FD847A04-F408-5B84-F3C1-B59052C2FFDF}" id="{00CE00A4-0074-40A8-957E-007900E4006D}" done="0">
    <text xml:space="preserve">Should jon be a rare?
</text>
  </threadedComment>
  <threadedComment ref="I314" personId="{FD847A04-F408-5B84-F3C1-B59052C2FFDF}" id="{00AC00F1-0023-4D7D-BAF4-006A00B0004A}" done="0">
    <text xml:space="preserve">Should the append cost something like [RB]?
</text>
  </threadedComment>
  <threadedComment ref="C320" personId="{FD847A04-F408-5B84-F3C1-B59052C2FFDF}" id="{004D0088-0053-4D2D-8F01-004A004D0002}" done="0">
    <text xml:space="preserve">Should this be a colorless card?
</text>
  </threadedComment>
  <threadedComment ref="I326" personId="{FD847A04-F408-5B84-F3C1-B59052C2FFDF}" id="{006C0081-006D-41FF-83C6-00CA00F200E5}" done="0">
    <text xml:space="preserve">Should this have advantagious?
</text>
  </threadedComment>
  <threadedComment ref="I340" personId="{FD847A04-F408-5B84-F3C1-B59052C2FFDF}" id="{00B800C7-0093-416E-96EB-00EF00FA0051}" done="0">
    <text xml:space="preserve">Is this card now litterally unplayable?
</text>
  </threadedComment>
  <threadedComment ref="C342" personId="{FD847A04-F408-5B84-F3C1-B59052C2FFDF}" id="{0057006E-0008-4D55-9CE9-001700320044}" done="0">
    <text xml:space="preserve">Should this card cost 8?
</text>
  </threadedComment>
  <threadedComment ref="F342" personId="{FD847A04-F408-5B84-F3C1-B59052C2FFDF}" id="{00F100CF-0095-4B0C-BC36-000D00B80055}" done="0">
    <text xml:space="preserve">Make it renowned?
</text>
  </threadedComment>
  <threadedComment ref="I348" personId="{FD847A04-F408-5B84-F3C1-B59052C2FFDF}" id="{005700F3-005D-4606-94D4-00DC00990087}" done="0">
    <text xml:space="preserve">Does this card not  having tradeable make it litterally unplayable.
</text>
  </threadedComment>
  <threadedComment ref="I352" personId="{FD847A04-F408-5B84-F3C1-B59052C2FFDF}" id="{00BA007E-0017-4976-8719-005000E20057}" done="0">
    <text xml:space="preserve">Does the may clause make this card too strong?
The way this is worded, the bomb goes off, but you get too choose if the vehicle is destroyed...
</text>
  </threadedComment>
  <threadedComment ref="I360" personId="{FD847A04-F408-5B84-F3C1-B59052C2FFDF}" id="{00F200F6-00E9-4E9D-8CF1-007B00950049}" done="0">
    <text xml:space="preserve">Is allowing any number of reloads a good idea?
</text>
  </threadedComment>
  <threadedComment ref="B38" personId="{FD847A04-F408-5B84-F3C1-B59052C2FFDF}" id="{0020009F-0043-4399-A13F-0074000300A2}" done="0">
    <text xml:space="preserve">New Name?
</text>
  </threadedComment>
  <threadedComment ref="I381" personId="{FD847A04-F408-5B84-F3C1-B59052C2FFDF}" id="{00300039-009B-46D9-A073-00A7007B00DC}" done="0">
    <text xml:space="preserve">Being able to choose two was way too oppresive.
</text>
  </threadedComment>
  <threadedComment ref="B58" personId="{FD847A04-F408-5B84-F3C1-B59052C2FFDF}" id="{00EA00AD-0074-47A0-8821-00F60089007D}" done="0">
    <text xml:space="preserve">What is the actual name for this?
</text>
  </threadedComment>
  <threadedComment ref="C58" personId="{FD847A04-F408-5B84-F3C1-B59052C2FFDF}" id="{00B40098-007F-4112-9363-008900290009}" done="0">
    <text xml:space="preserve">Should it cost more?
</text>
  </threadedComment>
  <threadedComment ref="C83" personId="{FD847A04-F408-5B84-F3C1-B59052C2FFDF}" id="{002B003C-0001-4A4F-AA65-0062000C0083}" done="0">
    <text xml:space="preserve">statline too good for 1 energy?
</text>
  </threadedComment>
  <threadedComment ref="B94" personId="{FD847A04-F408-5B84-F3C1-B59052C2FFDF}" id="{00FC0086-0046-4F7F-9BDC-000D00E4007D}" done="0">
    <text xml:space="preserve">Is this card just disgustingly op?
</text>
  </threadedComment>
  <threadedComment ref="D99" personId="{FD847A04-F408-5B84-F3C1-B59052C2FFDF}" id="{00F90059-009D-4AF0-A5D6-00F0007C00CF}" done="0">
    <text xml:space="preserve">Should this be colorless?
</text>
  </threadedComment>
</ThreadedComments>
</file>

<file path=xl/worksheets/_rels/sheet1.xml.rels><?xml version="1.0" encoding="UTF-8" standalone="yes"?><Relationships xmlns="http://schemas.openxmlformats.org/package/2006/relationships"><Relationship  Id="rId4" Type="http://schemas.openxmlformats.org/officeDocument/2006/relationships/vmlDrawing" Target="../drawings/vmlDrawing1.vml"/><Relationship  Id="rId3" Type="http://schemas.openxmlformats.org/officeDocument/2006/relationships/comments" Target="../comments1.xml"/><Relationship  Id="rId2" Type="http://schemas.microsoft.com/office/2017/10/relationships/threadedComment" Target="../threadedComments/threadedComment1.xml"/><Relationship  Id="rId1" Type="http://schemas.openxmlformats.org/officeDocument/2006/relationships/hyperlink" Target="https://www.youtube.com/watch?v=7GwGu8QVpL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S1" zoomScale="100" workbookViewId="0">
      <pane ySplit="1" topLeftCell="A2" activePane="bottomLeft" state="frozen"/>
      <selection activeCell="B3" activeCellId="0" sqref="B3"/>
    </sheetView>
  </sheetViews>
  <sheetFormatPr defaultColWidth="12.630000000000001" defaultRowHeight="15.75" customHeight="1" outlineLevelRow="1"/>
  <cols>
    <col customWidth="1" min="2" max="2" width="27.25"/>
    <col customWidth="1" min="4" max="4" width="13.630000000000001"/>
    <col customWidth="1" min="7" max="7" width="20.75"/>
    <col customWidth="1" min="8" max="8" width="9.75"/>
    <col customWidth="1" min="9" max="9" width="51"/>
    <col customWidth="1" min="10" max="10" width="20"/>
    <col customWidth="1" min="15" max="15" width="19.629999999999999"/>
    <col customWidth="1" min="22" max="22" width="19.129999999999999"/>
  </cols>
  <sheetData>
    <row r="1">
      <c r="A1" s="1" t="s">
        <v>0</v>
      </c>
      <c r="B1" s="1" t="s">
        <v>1</v>
      </c>
      <c r="C1" s="2" t="s">
        <v>2</v>
      </c>
      <c r="D1" s="1" t="s">
        <v>3</v>
      </c>
      <c r="E1" s="1" t="s">
        <v>4</v>
      </c>
      <c r="F1" s="1" t="s">
        <v>5</v>
      </c>
      <c r="G1" s="1" t="s">
        <v>6</v>
      </c>
      <c r="H1" s="2" t="s">
        <v>7</v>
      </c>
      <c r="I1" s="3" t="s">
        <v>8</v>
      </c>
      <c r="J1" s="3" t="s">
        <v>9</v>
      </c>
      <c r="K1" s="1" t="s">
        <v>10</v>
      </c>
      <c r="L1" s="1" t="s">
        <v>11</v>
      </c>
      <c r="M1" s="1" t="s">
        <v>12</v>
      </c>
      <c r="N1" s="1" t="s">
        <v>13</v>
      </c>
      <c r="O1" s="3" t="s">
        <v>14</v>
      </c>
      <c r="Q1" s="1" t="s">
        <v>15</v>
      </c>
      <c r="R1" s="1" t="s">
        <v>16</v>
      </c>
      <c r="S1" s="1" t="s">
        <v>17</v>
      </c>
      <c r="T1" s="1" t="s">
        <v>18</v>
      </c>
      <c r="U1" s="1" t="s">
        <v>19</v>
      </c>
      <c r="V1" s="4" t="s">
        <v>20</v>
      </c>
      <c r="W1" s="1" t="s">
        <v>21</v>
      </c>
      <c r="X1" s="1" t="s">
        <v>22</v>
      </c>
    </row>
    <row r="2" ht="89.25">
      <c r="A2" s="4" t="s">
        <v>23</v>
      </c>
      <c r="B2" s="4" t="s">
        <v>24</v>
      </c>
      <c r="C2" s="5" t="s">
        <v>25</v>
      </c>
      <c r="D2" s="6" t="str">
        <f>IFERROR(__xludf.DUMMYFUNCTION("IF(EQ(A2,B2),"""",SWITCH(IF(T2="""",0,COUNTA(SPLIT(T2,"" ""))),0,""Generic"",1,TRIM(T2),2,""Multicolor"",3,""Multicolor"",4,""Multicolor"",5,""Multicolor"",6,""Multicolor"",7,""Multicolor"",8,""Multicolor""))"),"Generic")</f>
        <v>Generic</v>
      </c>
      <c r="E2" s="4"/>
      <c r="F2" s="4" t="s">
        <v>26</v>
      </c>
      <c r="G2" s="4" t="s">
        <v>27</v>
      </c>
      <c r="H2" s="5" t="s">
        <v>25</v>
      </c>
      <c r="I2" s="7" t="s">
        <v>28</v>
      </c>
      <c r="J2" s="7"/>
      <c r="K2" s="4" t="s">
        <v>29</v>
      </c>
      <c r="L2" s="4" t="s">
        <v>29</v>
      </c>
      <c r="M2" s="4"/>
      <c r="N2" s="4"/>
      <c r="O2" s="4"/>
      <c r="P2" s="4"/>
      <c r="Q2" s="8">
        <v>60</v>
      </c>
      <c r="R2" s="8">
        <v>50</v>
      </c>
      <c r="S2" s="4" t="str">
        <f t="shared" ref="S2:S65" si="0">IF(ISBLANK(A2),"",if(EQ(len(trim(K2)), 0),"False","True"))</f>
        <v>False</v>
      </c>
      <c r="T2" s="4" t="str">
        <f>IFERROR(__xludf.DUMMYFUNCTION("CONCATENATE(if(REGEXMATCH(C2,""R""),"" Red"",""""),if(REGEXMATCH(C2,""O""),"" Orange"",""""),if(REGEXMATCH(C2,""Y""),"" Yellow"",""""),if(REGEXMATCH(C2,""G""),"" Green"",""""),if(REGEXMATCH(C2,""B""),"" Blue"",""""),if(REGEXMATCH(C2,""P""),"" Purple"","""&amp;"""))"),"")</f>
        <v/>
      </c>
      <c r="U2" s="4" t="str">
        <f>IFERROR(__xludf.DUMMYFUNCTION("TRIM(CONCAT(""[right]"", REGEXREPLACE(C2, ""([ROYGBPXZC_]|1?[0-9])"", ""[img=119]res://textures/icons/$0.png[/img]\\n"")))"),"[right][img=119]res://textures/icons/0.png[/img]\n")</f>
        <v>[right][img=119]res://textures/icons/0.png[/img]\n</v>
      </c>
      <c r="V2" s="4" t="str">
        <f>IFERROR(__xludf.DUMMYFUNCTION("SUBSTITUTE(SUBSTITUTE(SUBSTITUTE(SUBSTITUTE(REGEXREPLACE(SUBSTITUTE(SUBSTITUTE(SUBSTITUTE(SUBSTITUTE(REGEXREPLACE(I2, ""(\[([ROYGBPTQUXZC_]|1?[0-9])\])"", ""[img=45]res://textures/icons/$2.png[/img]""),""--"",""—""),""-&gt;"",""•""),""~@"", CONCATENATE(""[i]"&amp;""",REGEXEXTRACT(B2,""^([\s\S]*),|$""),""[/i]"")),""~"", CONCATENATE(""[i]"",B2,""[/i]"")),""(\([\s\S]*?\))"",""[i][color=#34343A]$0[/color][/i]""), ""&lt;"", ""[""), ""&gt;"", ""]""), ""[/p][p]"", ""[font_size=15]\n\n[/font_size]""), ""[br/]"", ""\n"")"),"[p][center][u]Transient[/u] [i][color=#34343A](If [i]Bullet[/i] would enter your discard, instead remove it from the game.)[/color][/i][/center][font_size=15]\n\n[/font_size][img=45]res://textures/icons/T.png[/img], [u]Forfeit[/u] [i][color=#34343A](Put t"&amp;"he specified card into its owner's discard.)[/color][/i] [i]Bullet[/i]: [i]Bullet[/i] deals 2 damage to an asset or player of your choice.[font_size=15]\n\n[/font_size][img=45]res://textures/icons/T.png[/img], [u]Forfeit[/u] [i]Bullet[/i]: Choose a gun yo"&amp;"u control; restore 1 ammo to it.[/p]")</f>
        <v xml:space="preserve">[p][center][u]Transient[/u] [i][color=#34343A](If [i]Bullet[/i] would enter your discard, instead remove it from the game.)[/color][/i][/center][font_size=15]\n\n[/font_size][img=45]res://textures/icons/T.png[/img], [u]Forfeit[/u] [i][color=#34343A](Put the specified card into its owner's discard.)[/color][/i] [i]Bullet[/i]: [i]Bullet[/i] deals 2 damage to an asset or player of your choice.[font_size=15]\n\n[/font_size][img=45]res://textures/icons/T.png[/img], [u]Forfeit[/u] [i]Bullet[/i]: Choose a gun you control; restore 1 ammo to it.[/p]</v>
      </c>
      <c r="W2" s="4" t="str">
        <f t="shared" ref="W2:W65" si="1">CONCATENATE("[i]", F2, "[/i]")</f>
        <v>[i]Asset[/i]</v>
      </c>
      <c r="X2" s="4" t="str">
        <f t="shared" ref="X2:X65" si="2">IF(EQ(A2,B2), "0", CONCATENATE("RT_", A2))</f>
        <v>RT_0_001</v>
      </c>
      <c r="Y2" s="4"/>
      <c r="Z2" s="4"/>
      <c r="AA2" s="4"/>
      <c r="AB2" s="4"/>
    </row>
    <row r="3" ht="51">
      <c r="A3" s="4" t="s">
        <v>30</v>
      </c>
      <c r="B3" s="4" t="s">
        <v>31</v>
      </c>
      <c r="C3" s="5" t="s">
        <v>32</v>
      </c>
      <c r="D3" s="6" t="str">
        <f>IFERROR(__xludf.DUMMYFUNCTION("IF(EQ(A3,B3),"""",SWITCH(IF(T3="""",0,COUNTA(SPLIT(T3,"" ""))),0,""Generic"",1,TRIM(T3),2,""Multicolor"",3,""Multicolor"",4,""Multicolor"",5,""Multicolor"",6,""Multicolor"",7,""Multicolor"",8,""Multicolor""))"),"Generic")</f>
        <v>Generic</v>
      </c>
      <c r="E3" s="4"/>
      <c r="F3" s="4" t="s">
        <v>33</v>
      </c>
      <c r="G3" s="4" t="s">
        <v>34</v>
      </c>
      <c r="H3" s="5" t="s">
        <v>25</v>
      </c>
      <c r="I3" s="7" t="s">
        <v>35</v>
      </c>
      <c r="J3" s="7" t="s">
        <v>36</v>
      </c>
      <c r="K3" s="4" t="s">
        <v>29</v>
      </c>
      <c r="L3" s="4" t="s">
        <v>29</v>
      </c>
      <c r="M3" s="4"/>
      <c r="N3" s="4"/>
      <c r="O3" s="4"/>
      <c r="P3" s="4"/>
      <c r="Q3" s="8">
        <v>60</v>
      </c>
      <c r="R3" s="8">
        <v>50</v>
      </c>
      <c r="S3" s="4" t="str">
        <f t="shared" si="0"/>
        <v>False</v>
      </c>
      <c r="T3" s="4" t="str">
        <f>IFERROR(__xludf.DUMMYFUNCTION("CONCATENATE(if(REGEXMATCH(C3,""R""),"" Red"",""""),if(REGEXMATCH(C3,""O""),"" Orange"",""""),if(REGEXMATCH(C3,""Y""),"" Yellow"",""""),if(REGEXMATCH(C3,""G""),"" Green"",""""),if(REGEXMATCH(C3,""B""),"" Blue"",""""),if(REGEXMATCH(C3,""P""),"" Purple"","""&amp;"""))"),"")</f>
        <v/>
      </c>
      <c r="U3" s="4" t="str">
        <f>IFERROR(__xludf.DUMMYFUNCTION("TRIM(CONCAT(""[right]"", REGEXREPLACE(C3, ""([ROYGBPXZC_]|1?[0-9])"", ""[img=119]res://textures/icons/$0.png[/img]\\n"")))"),"[right][img=119]res://textures/icons/3.png[/img]\n")</f>
        <v>[right][img=119]res://textures/icons/3.png[/img]\n</v>
      </c>
      <c r="V3" s="4" t="str">
        <f>IFERROR(__xludf.DUMMYFUNCTION("SUBSTITUTE(SUBSTITUTE(SUBSTITUTE(SUBSTITUTE(REGEXREPLACE(SUBSTITUTE(SUBSTITUTE(SUBSTITUTE(SUBSTITUTE(REGEXREPLACE(I3, ""(\[([ROYGBPTQUXZC_]|1?[0-9])\])"", ""[img=45]res://textures/icons/$2.png[/img]""),""--"",""—""),""-&gt;"",""•""),""~@"", CONCATENATE(""[i]"&amp;""",REGEXEXTRACT(B3,""^([\s\S]*),|$""),""[/i]"")),""~"", CONCATENATE(""[i]"",B3,""[/i]"")),""(\([\s\S]*?\))"",""[i][color=#34343A]$0[/color][/i]""), ""&lt;"", ""[""), ""&gt;"", ""]""), ""[/p][p]"", ""[font_size=15]\n\n[/font_size]""), ""[br/]"", ""\n"")"),"[center][u]Transient[/u] [i][color=#34343A](If [i]Doubt[/i] would enter your discard, instead remove it from the game.)[/color][/i][/center][p]When you draw [i]Doubt[/i], reveal it and your commander loses 1 loyalty.[font_size=15]\n\n[/font_size]Each comm"&amp;"ander loses 1 loyalty.[/p]")</f>
        <v xml:space="preserve">[center][u]Transient[/u] [i][color=#34343A](If [i]Doubt[/i] would enter your discard, instead remove it from the game.)[/color][/i][/center][p]When you draw [i]Doubt[/i], reveal it and your commander loses 1 loyalty.[font_size=15]\n\n[/font_size]Each commander loses 1 loyalty.[/p]</v>
      </c>
      <c r="W3" s="4" t="str">
        <f t="shared" si="1"/>
        <v>[i]Effect[/i]</v>
      </c>
      <c r="X3" s="4" t="str">
        <f t="shared" si="2"/>
        <v>RT_0_002</v>
      </c>
      <c r="Y3" s="4"/>
      <c r="Z3" s="4"/>
      <c r="AA3" s="4"/>
      <c r="AB3" s="4"/>
    </row>
    <row r="4" ht="38.25">
      <c r="A4" s="4" t="s">
        <v>37</v>
      </c>
      <c r="B4" s="4" t="s">
        <v>38</v>
      </c>
      <c r="C4" s="5" t="s">
        <v>32</v>
      </c>
      <c r="D4" s="6" t="str">
        <f>IFERROR(__xludf.DUMMYFUNCTION("IF(EQ(A4,B4),"""",SWITCH(IF(T4="""",0,COUNTA(SPLIT(T4,"" ""))),0,""Generic"",1,TRIM(T4),2,""Multicolor"",3,""Multicolor"",4,""Multicolor"",5,""Multicolor"",6,""Multicolor"",7,""Multicolor"",8,""Multicolor""))"),"Generic")</f>
        <v>Generic</v>
      </c>
      <c r="E4" s="4"/>
      <c r="F4" s="4" t="s">
        <v>33</v>
      </c>
      <c r="G4" s="4" t="s">
        <v>34</v>
      </c>
      <c r="H4" s="5" t="s">
        <v>25</v>
      </c>
      <c r="I4" s="7" t="s">
        <v>39</v>
      </c>
      <c r="J4" s="7" t="s">
        <v>40</v>
      </c>
      <c r="K4" s="4" t="s">
        <v>29</v>
      </c>
      <c r="L4" s="4" t="s">
        <v>29</v>
      </c>
      <c r="M4" s="4"/>
      <c r="N4" s="4"/>
      <c r="O4" s="4"/>
      <c r="P4" s="4"/>
      <c r="Q4" s="8">
        <v>60</v>
      </c>
      <c r="R4" s="8">
        <v>50</v>
      </c>
      <c r="S4" s="4" t="str">
        <f t="shared" si="0"/>
        <v>False</v>
      </c>
      <c r="T4" s="4" t="str">
        <f>IFERROR(__xludf.DUMMYFUNCTION("CONCATENATE(if(REGEXMATCH(C4,""R""),"" Red"",""""),if(REGEXMATCH(C4,""O""),"" Orange"",""""),if(REGEXMATCH(C4,""Y""),"" Yellow"",""""),if(REGEXMATCH(C4,""G""),"" Green"",""""),if(REGEXMATCH(C4,""B""),"" Blue"",""""),if(REGEXMATCH(C4,""P""),"" Purple"","""&amp;"""))"),"")</f>
        <v/>
      </c>
      <c r="U4" s="4" t="str">
        <f>IFERROR(__xludf.DUMMYFUNCTION("TRIM(CONCAT(""[right]"", REGEXREPLACE(C4, ""([ROYGBPXZC_]|1?[0-9])"", ""[img=119]res://textures/icons/$0.png[/img]\\n"")))"),"[right][img=119]res://textures/icons/3.png[/img]\n")</f>
        <v>[right][img=119]res://textures/icons/3.png[/img]\n</v>
      </c>
      <c r="V4" s="4" t="str">
        <f>IFERROR(__xludf.DUMMYFUNCTION("SUBSTITUTE(SUBSTITUTE(SUBSTITUTE(SUBSTITUTE(REGEXREPLACE(SUBSTITUTE(SUBSTITUTE(SUBSTITUTE(SUBSTITUTE(REGEXREPLACE(I4, ""(\[([ROYGBPTQUXZC_]|1?[0-9])\])"", ""[img=45]res://textures/icons/$2.png[/img]""),""--"",""—""),""-&gt;"",""•""),""~@"", CONCATENATE(""[i]"&amp;""",REGEXEXTRACT(B4,""^([\s\S]*),|$""),""[/i]"")),""~"", CONCATENATE(""[i]"",B4,""[/i]"")),""(\([\s\S]*?\))"",""[i][color=#34343A]$0[/color][/i]""), ""&lt;"", ""[""), ""&gt;"", ""]""), ""[/p][p]"", ""[font_size=15]\n\n[/font_size]""), ""[br/]"", ""\n"")"),"[p]When you draw [i]Incarceration[/i], reveal it, then exhaust all of your generators. This effect can't be responded to.[font_size=15]\n\n[/font_size]Each player draws a card.[/p]")</f>
        <v xml:space="preserve">[p]When you draw [i]Incarceration[/i], reveal it, then exhaust all of your generators. This effect can't be responded to.[font_size=15]\n\n[/font_size]Each player draws a card.[/p]</v>
      </c>
      <c r="W4" s="4" t="str">
        <f t="shared" si="1"/>
        <v>[i]Effect[/i]</v>
      </c>
      <c r="X4" s="4" t="str">
        <f t="shared" si="2"/>
        <v>RT_0_003</v>
      </c>
      <c r="Y4" s="4"/>
      <c r="Z4" s="4" t="s">
        <v>41</v>
      </c>
      <c r="AA4" s="4"/>
      <c r="AB4" s="4"/>
    </row>
    <row r="5" ht="76.5">
      <c r="A5" s="4" t="s">
        <v>42</v>
      </c>
      <c r="B5" s="4" t="s">
        <v>43</v>
      </c>
      <c r="C5" s="5" t="s">
        <v>44</v>
      </c>
      <c r="D5" s="6" t="str">
        <f>IFERROR(__xludf.DUMMYFUNCTION("IF(EQ(A5,B5),"""",SWITCH(IF(T5="""",0,COUNTA(SPLIT(T5,"" ""))),0,""Generic"",1,TRIM(T5),2,""Multicolor"",3,""Multicolor"",4,""Multicolor"",5,""Multicolor"",6,""Multicolor"",7,""Multicolor"",8,""Multicolor""))"),"Generic")</f>
        <v>Generic</v>
      </c>
      <c r="E5" s="4"/>
      <c r="F5" s="4" t="s">
        <v>33</v>
      </c>
      <c r="G5" s="4" t="s">
        <v>45</v>
      </c>
      <c r="H5" s="5" t="s">
        <v>25</v>
      </c>
      <c r="I5" s="7" t="s">
        <v>46</v>
      </c>
      <c r="J5" s="7" t="s">
        <v>47</v>
      </c>
      <c r="K5" s="4" t="s">
        <v>29</v>
      </c>
      <c r="L5" s="4" t="s">
        <v>29</v>
      </c>
      <c r="M5" s="4"/>
      <c r="N5" s="4"/>
      <c r="O5" s="4"/>
      <c r="P5" s="4"/>
      <c r="Q5" s="8">
        <v>60</v>
      </c>
      <c r="R5" s="8">
        <v>35</v>
      </c>
      <c r="S5" s="4" t="str">
        <f t="shared" si="0"/>
        <v>False</v>
      </c>
      <c r="T5" s="4" t="str">
        <f>IFERROR(__xludf.DUMMYFUNCTION("CONCATENATE(if(REGEXMATCH(C5,""R""),"" Red"",""""),if(REGEXMATCH(C5,""O""),"" Orange"",""""),if(REGEXMATCH(C5,""Y""),"" Yellow"",""""),if(REGEXMATCH(C5,""G""),"" Green"",""""),if(REGEXMATCH(C5,""B""),"" Blue"",""""),if(REGEXMATCH(C5,""P""),"" Purple"","""&amp;"""))"),"")</f>
        <v/>
      </c>
      <c r="U5" s="4" t="str">
        <f>IFERROR(__xludf.DUMMYFUNCTION("TRIM(CONCAT(""[right]"", REGEXREPLACE(C5, ""([ROYGBPXZC_]|1?[0-9])"", ""[img=119]res://textures/icons/$0.png[/img]\\n"")))"),"[right][img=119]res://textures/icons/2.png[/img]\n")</f>
        <v>[right][img=119]res://textures/icons/2.png[/img]\n</v>
      </c>
      <c r="V5" s="4" t="str">
        <f>IFERROR(__xludf.DUMMYFUNCTION("SUBSTITUTE(SUBSTITUTE(SUBSTITUTE(SUBSTITUTE(REGEXREPLACE(SUBSTITUTE(SUBSTITUTE(SUBSTITUTE(SUBSTITUTE(REGEXREPLACE(I5, ""(\[([ROYGBPTQUXZC_]|1?[0-9])\])"", ""[img=45]res://textures/icons/$2.png[/img]""),""--"",""—""),""-&gt;"",""•""),""~@"", CONCATENATE(""[i]"&amp;""",REGEXEXTRACT(B5,""^([\s\S]*),|$""),""[/i]"")),""~"", CONCATENATE(""[i]"",B5,""[/i]"")),""(\([\s\S]*?\))"",""[i][color=#34343A]$0[/color][/i]""), ""&lt;"", ""[""), ""&gt;"", ""]""), ""[/p][p]"", ""[font_size=15]\n\n[/font_size]""), ""[br/]"", ""\n"")"),"[center][u]Transient[/u] [i][color=#34343A](If [i]Tip[/i] would enter your discard, instead remove it from the game.)[/color][/i], [u]Response[/u] [i][color=#34343A](You may deploy [i]Tip[/i] in response to other cards and effects.)[/color][/i], [u]Advant"&amp;"ageous[/u] [i][color=#34343A](When [i]Tip[/i] resolves, draw a card.)[/color][/i][/center][p]When you draw [i]Tip[/i], reveal it, then draw a card.[/p]")</f>
        <v xml:space="preserve">[center][u]Transient[/u] [i][color=#34343A](If [i]Tip[/i] would enter your discard, instead remove it from the game.)[/color][/i], [u]Response[/u] [i][color=#34343A](You may deploy [i]Tip[/i] in response to other cards and effects.)[/color][/i], [u]Advantageous[/u] [i][color=#34343A](When [i]Tip[/i] resolves, draw a card.)[/color][/i][/center][p]When you draw [i]Tip[/i], reveal it, then draw a card.[/p]</v>
      </c>
      <c r="W5" s="4" t="str">
        <f t="shared" si="1"/>
        <v>[i]Effect[/i]</v>
      </c>
      <c r="X5" s="4" t="str">
        <f t="shared" si="2"/>
        <v>RT_0_004</v>
      </c>
      <c r="Y5" s="4"/>
      <c r="Z5" s="4"/>
      <c r="AA5" s="4"/>
      <c r="AB5" s="4"/>
    </row>
    <row r="6" ht="76.5">
      <c r="A6" s="4" t="s">
        <v>48</v>
      </c>
      <c r="B6" s="4" t="s">
        <v>49</v>
      </c>
      <c r="C6" s="5" t="s">
        <v>50</v>
      </c>
      <c r="D6" s="6" t="str">
        <f>IFERROR(__xludf.DUMMYFUNCTION("IF(EQ(A6,B6),"""",SWITCH(IF(T6="""",0,COUNTA(SPLIT(T6,"" ""))),0,""Generic"",1,TRIM(T6),2,""Multicolor"",3,""Multicolor"",4,""Multicolor"",5,""Multicolor"",6,""Multicolor"",7,""Multicolor"",8,""Multicolor""))"),"Generic")</f>
        <v>Generic</v>
      </c>
      <c r="E6" s="4" t="s">
        <v>51</v>
      </c>
      <c r="F6" s="4" t="s">
        <v>26</v>
      </c>
      <c r="G6" s="4" t="s">
        <v>52</v>
      </c>
      <c r="H6" s="5" t="s">
        <v>25</v>
      </c>
      <c r="I6" s="7" t="s">
        <v>53</v>
      </c>
      <c r="J6" s="7"/>
      <c r="K6" s="8">
        <v>1</v>
      </c>
      <c r="L6" s="8">
        <v>2</v>
      </c>
      <c r="M6" s="4"/>
      <c r="N6" s="4"/>
      <c r="O6" s="4"/>
      <c r="P6" s="4"/>
      <c r="Q6" s="8">
        <v>60</v>
      </c>
      <c r="R6" s="8">
        <v>50</v>
      </c>
      <c r="S6" s="4" t="str">
        <f t="shared" si="0"/>
        <v>True</v>
      </c>
      <c r="T6" s="4" t="str">
        <f>IFERROR(__xludf.DUMMYFUNCTION("CONCATENATE(if(REGEXMATCH(C6,""R""),"" Red"",""""),if(REGEXMATCH(C6,""O""),"" Orange"",""""),if(REGEXMATCH(C6,""Y""),"" Yellow"",""""),if(REGEXMATCH(C6,""G""),"" Green"",""""),if(REGEXMATCH(C6,""B""),"" Blue"",""""),if(REGEXMATCH(C6,""P""),"" Purple"","""&amp;"""))"),"")</f>
        <v/>
      </c>
      <c r="U6" s="4" t="str">
        <f>IFERROR(__xludf.DUMMYFUNCTION("TRIM(CONCAT(""[right]"", REGEXREPLACE(C6, ""([ROYGBPXZC_]|1?[0-9])"", ""[img=119]res://textures/icons/$0.png[/img]\\n"")))"),"[right][img=119]res://textures/icons/1.png[/img]\n")</f>
        <v>[right][img=119]res://textures/icons/1.png[/img]\n</v>
      </c>
      <c r="V6" s="4" t="str">
        <f>IFERROR(__xludf.DUMMYFUNCTION("SUBSTITUTE(SUBSTITUTE(SUBSTITUTE(SUBSTITUTE(REGEXREPLACE(SUBSTITUTE(SUBSTITUTE(SUBSTITUTE(SUBSTITUTE(REGEXREPLACE(I6, ""(\[([ROYGBPTQUXZC_]|1?[0-9])\])"", ""[img=45]res://textures/icons/$2.png[/img]""),""--"",""—""),""-&gt;"",""•""),""~@"", CONCATENATE(""[i]"&amp;""",REGEXEXTRACT(B6,""^([\s\S]*),|$""),""[/i]"")),""~"", CONCATENATE(""[i]"",B6,""[/i]"")),""(\([\s\S]*?\))"",""[i][color=#34343A]$0[/color][/i]""), ""&lt;"", ""[""), ""&gt;"", ""]""), ""[/p][p]"", ""[font_size=15]\n\n[/font_size]""), ""[br/]"", ""\n"")"),"[center][u]Transient[/u] [i][color=#34343A](If [i]Duck[/i] would enter your discard, instead remove it from the game.)[/color][/i], [u]Flying[/u] [i][color=#34343A]([i]Duck[/i] can only be intercepted by assets with ranged or flying. If [i]Duck[/i] is int"&amp;"ercepting you may choose another combatant or commander you control, that is not also intercepting, to take the damage instead.)[/color][/i][/center]")</f>
        <v xml:space="preserve">[center][u]Transient[/u] [i][color=#34343A](If [i]Duck[/i] would enter your discard, instead remove it from the game.)[/color][/i], [u]Flying[/u] [i][color=#34343A]([i]Duck[/i] can only be intercepted by assets with ranged or flying. If [i]Duck[/i] is intercepting you may choose another combatant or commander you control, that is not also intercepting, to take the damage instead.)[/color][/i][/center]</v>
      </c>
      <c r="W6" s="4" t="str">
        <f t="shared" si="1"/>
        <v>[i]Asset[/i]</v>
      </c>
      <c r="X6" s="4" t="str">
        <f t="shared" si="2"/>
        <v>RT_0_005</v>
      </c>
      <c r="Y6" s="4"/>
      <c r="Z6" s="4"/>
      <c r="AA6" s="4"/>
      <c r="AB6" s="4"/>
    </row>
    <row r="7" ht="76.5">
      <c r="A7" s="4" t="s">
        <v>54</v>
      </c>
      <c r="B7" s="4" t="s">
        <v>55</v>
      </c>
      <c r="C7" s="5" t="s">
        <v>56</v>
      </c>
      <c r="D7" s="6" t="str">
        <f>IFERROR(__xludf.DUMMYFUNCTION("IF(EQ(A7,B7),"""",SWITCH(IF(T7="""",0,COUNTA(SPLIT(T7,"" ""))),0,""Generic"",1,TRIM(T7),2,""Multicolor"",3,""Multicolor"",4,""Multicolor"",5,""Multicolor"",6,""Multicolor"",7,""Multicolor"",8,""Multicolor""))"),"Blue")</f>
        <v>Blue</v>
      </c>
      <c r="E7" s="4"/>
      <c r="F7" s="4" t="s">
        <v>33</v>
      </c>
      <c r="G7" s="4" t="s">
        <v>57</v>
      </c>
      <c r="H7" s="5" t="s">
        <v>25</v>
      </c>
      <c r="I7" s="7" t="s">
        <v>58</v>
      </c>
      <c r="J7" s="7"/>
      <c r="K7" s="8"/>
      <c r="L7" s="8"/>
      <c r="M7" s="4"/>
      <c r="N7" s="4"/>
      <c r="O7" s="4"/>
      <c r="P7" s="4"/>
      <c r="Q7" s="8">
        <v>45</v>
      </c>
      <c r="R7" s="8">
        <v>35</v>
      </c>
      <c r="S7" s="4" t="str">
        <f t="shared" si="0"/>
        <v>False</v>
      </c>
      <c r="T7" s="4" t="str">
        <f>IFERROR(__xludf.DUMMYFUNCTION("CONCATENATE(if(REGEXMATCH(C7,""R""),"" Red"",""""),if(REGEXMATCH(C7,""O""),"" Orange"",""""),if(REGEXMATCH(C7,""Y""),"" Yellow"",""""),if(REGEXMATCH(C7,""G""),"" Green"",""""),if(REGEXMATCH(C7,""B""),"" Blue"",""""),if(REGEXMATCH(C7,""P""),"" Purple"","""&amp;"""))")," Blue")</f>
        <v>Blue</v>
      </c>
      <c r="U7" s="4" t="str">
        <f>IFERROR(__xludf.DUMMYFUNCTION("TRIM(CONCAT(""[right]"", REGEXREPLACE(C7, ""([ROYGBPXZC_]|1?[0-9])"", ""[img=119]res://textures/icons/$0.png[/img]\\n"")))"),"[right][img=119]res://textures/icons/B.png[/img]\n[img=119]res://textures/icons/B.png[/img]\n")</f>
        <v>[right][img=119]res://textures/icons/B.png[/img]\n[img=119]res://textures/icons/B.png[/img]\n</v>
      </c>
      <c r="V7" s="4" t="str">
        <f>IFERROR(__xludf.DUMMYFUNCTION("SUBSTITUTE(SUBSTITUTE(SUBSTITUTE(SUBSTITUTE(REGEXREPLACE(SUBSTITUTE(SUBSTITUTE(SUBSTITUTE(SUBSTITUTE(REGEXREPLACE(I7, ""(\[([ROYGBPTQUXZC_]|1?[0-9])\])"", ""[img=45]res://textures/icons/$2.png[/img]""),""--"",""—""),""-&gt;"",""•""),""~@"", CONCATENATE(""[i]"&amp;""",REGEXEXTRACT(B7,""^([\s\S]*),|$""),""[/i]"")),""~"", CONCATENATE(""[i]"",B7,""[/i]"")),""(\([\s\S]*?\))"",""[i][color=#34343A]$0[/color][/i]""), ""&lt;"", ""[""), ""&gt;"", ""]""), ""[/p][p]"", ""[font_size=15]\n\n[/font_size]""), ""[br/]"", ""\n"")"),"[center][u]Fleeting[/u] [i][color=#34343A](Discard [i]Emergency Defibrillator[/i] at the end of your turn.)[/color][/i], [u]Transient[/u] [i][color=#34343A](If [i]Emergency Defibrillator[/i] would enter your discard, instead remove it from the game.)[/col"&amp;"or][/i], [u]Response[/u] [i][color=#34343A](You may deploy [i]Emergency Defibrillator[/i] in response to other cards and effects.)[/color][/i][/center][p]Choose a combatant that entered your discard this turn; return that card to your hand.[/p]")</f>
        <v xml:space="preserve">[center][u]Fleeting[/u] [i][color=#34343A](Discard [i]Emergency Defibrillator[/i] at the end of your turn.)[/color][/i], [u]Transient[/u] [i][color=#34343A](If [i]Emergency Defibrillator[/i] would enter your discard, instead remove it from the game.)[/color][/i], [u]Response[/u] [i][color=#34343A](You may deploy [i]Emergency Defibrillator[/i] in response to other cards and effects.)[/color][/i][/center][p]Choose a combatant that entered your discard this turn; return that card to your hand.[/p]</v>
      </c>
      <c r="W7" s="4" t="str">
        <f t="shared" si="1"/>
        <v>[i]Effect[/i]</v>
      </c>
      <c r="X7" s="4" t="str">
        <f t="shared" si="2"/>
        <v>RT_0_006</v>
      </c>
      <c r="Y7" s="4"/>
      <c r="Z7" s="4"/>
      <c r="AA7" s="4"/>
      <c r="AB7" s="4"/>
    </row>
    <row r="8" ht="51">
      <c r="A8" s="4" t="s">
        <v>59</v>
      </c>
      <c r="B8" s="4" t="s">
        <v>60</v>
      </c>
      <c r="C8" s="5" t="s">
        <v>61</v>
      </c>
      <c r="D8" s="6" t="str">
        <f>IFERROR(__xludf.DUMMYFUNCTION("IF(EQ(A8,B8),"""",SWITCH(IF(T8="""",0,COUNTA(SPLIT(T8,"" ""))),0,""Generic"",1,TRIM(T8),2,""Multicolor"",3,""Multicolor"",4,""Multicolor"",5,""Multicolor"",6,""Multicolor"",7,""Multicolor"",8,""Multicolor""))"),"Blue")</f>
        <v>Blue</v>
      </c>
      <c r="E8" s="4" t="s">
        <v>51</v>
      </c>
      <c r="F8" s="4" t="s">
        <v>26</v>
      </c>
      <c r="G8" s="4" t="s">
        <v>62</v>
      </c>
      <c r="H8" s="5" t="s">
        <v>25</v>
      </c>
      <c r="I8" s="7" t="s">
        <v>63</v>
      </c>
      <c r="J8" s="7" t="s">
        <v>64</v>
      </c>
      <c r="K8" s="4">
        <v>2</v>
      </c>
      <c r="L8" s="4">
        <v>2</v>
      </c>
      <c r="M8" s="4"/>
      <c r="N8" s="4"/>
      <c r="O8" s="4"/>
      <c r="P8" s="4"/>
      <c r="Q8" s="8">
        <v>60</v>
      </c>
      <c r="R8" s="8">
        <v>35</v>
      </c>
      <c r="S8" s="4" t="str">
        <f t="shared" si="0"/>
        <v>True</v>
      </c>
      <c r="T8" s="4" t="str">
        <f>IFERROR(__xludf.DUMMYFUNCTION("CONCATENATE(if(REGEXMATCH(C8,""R""),"" Red"",""""),if(REGEXMATCH(C8,""O""),"" Orange"",""""),if(REGEXMATCH(C8,""Y""),"" Yellow"",""""),if(REGEXMATCH(C8,""G""),"" Green"",""""),if(REGEXMATCH(C8,""B""),"" Blue"",""""),if(REGEXMATCH(C8,""P""),"" Purple"","""&amp;"""))")," Blue")</f>
        <v>Blue</v>
      </c>
      <c r="U8" s="4" t="str">
        <f>IFERROR(__xludf.DUMMYFUNCTION("TRIM(CONCAT(""[right]"", REGEXREPLACE(C8, ""([ROYGBPXZC_]|1?[0-9])"", ""[img=119]res://textures/icons/$0.png[/img]\\n"")))"),"[right][img=119]res://textures/icons/B.png[/img]\n")</f>
        <v>[right][img=119]res://textures/icons/B.png[/img]\n</v>
      </c>
      <c r="V8" s="4" t="str">
        <f>IFERROR(__xludf.DUMMYFUNCTION("SUBSTITUTE(SUBSTITUTE(SUBSTITUTE(SUBSTITUTE(REGEXREPLACE(SUBSTITUTE(SUBSTITUTE(SUBSTITUTE(SUBSTITUTE(REGEXREPLACE(I8, ""(\[([ROYGBPTQUXZC_]|1?[0-9])\])"", ""[img=45]res://textures/icons/$2.png[/img]""),""--"",""—""),""-&gt;"",""•""),""~@"", CONCATENATE(""[i]"&amp;""",REGEXEXTRACT(B8,""^([\s\S]*),|$""),""[/i]"")),""~"", CONCATENATE(""[i]"",B8,""[/i]"")),""(\([\s\S]*?\))"",""[i][color=#34343A]$0[/color][/i]""), ""&lt;"", ""[""), ""&gt;"", ""]""), ""[/p][p]"", ""[font_size=15]\n\n[/font_size]""), ""[br/]"", ""\n"")"),"[center][u]Transient[/u] [i][color=#34343A](If [i]Fellow Officer[/i] would enter your discard, instead remove it from the game.)[/color][/i][/center][p][i]Fellow Officer[/i] can be placed into a ranged slot of a formation.[/p]")</f>
        <v xml:space="preserve">[center][u]Transient[/u] [i][color=#34343A](If [i]Fellow Officer[/i] would enter your discard, instead remove it from the game.)[/color][/i][/center][p][i]Fellow Officer[/i] can be placed into a ranged slot of a formation.[/p]</v>
      </c>
      <c r="W8" s="4" t="str">
        <f t="shared" si="1"/>
        <v>[i]Asset[/i]</v>
      </c>
      <c r="X8" s="4" t="str">
        <f t="shared" si="2"/>
        <v>RT_0_007</v>
      </c>
      <c r="Y8" s="4"/>
      <c r="Z8" s="4"/>
      <c r="AA8" s="4"/>
      <c r="AB8" s="4"/>
    </row>
    <row r="9" ht="63.75">
      <c r="A9" s="4" t="s">
        <v>65</v>
      </c>
      <c r="B9" s="4" t="s">
        <v>66</v>
      </c>
      <c r="C9" s="5" t="s">
        <v>25</v>
      </c>
      <c r="D9" s="6" t="s">
        <v>67</v>
      </c>
      <c r="E9" s="4"/>
      <c r="F9" s="4" t="s">
        <v>33</v>
      </c>
      <c r="G9" s="4" t="s">
        <v>68</v>
      </c>
      <c r="H9" s="5" t="s">
        <v>25</v>
      </c>
      <c r="I9" s="7" t="s">
        <v>69</v>
      </c>
      <c r="J9" s="7"/>
      <c r="K9" s="4"/>
      <c r="L9" s="4"/>
      <c r="M9" s="4"/>
      <c r="N9" s="4"/>
      <c r="O9" s="4"/>
      <c r="P9" s="4"/>
      <c r="Q9" s="8">
        <v>60</v>
      </c>
      <c r="R9" s="8">
        <v>40</v>
      </c>
      <c r="S9" s="4" t="str">
        <f t="shared" si="0"/>
        <v>False</v>
      </c>
      <c r="T9" s="4" t="str">
        <f>IFERROR(__xludf.DUMMYFUNCTION("CONCATENATE(if(REGEXMATCH(C9,""R""),"" Red"",""""),if(REGEXMATCH(C9,""O""),"" Orange"",""""),if(REGEXMATCH(C9,""Y""),"" Yellow"",""""),if(REGEXMATCH(C9,""G""),"" Green"",""""),if(REGEXMATCH(C9,""B""),"" Blue"",""""),if(REGEXMATCH(C9,""P""),"" Purple"","""&amp;"""))"),"")</f>
        <v/>
      </c>
      <c r="U9" s="4" t="str">
        <f>IFERROR(__xludf.DUMMYFUNCTION("TRIM(CONCAT(""[right]"", REGEXREPLACE(C9, ""([ROYGBPXZC_]|1?[0-9])"", ""[img=119]res://textures/icons/$0.png[/img]\\n"")))"),"[right][img=119]res://textures/icons/0.png[/img]\n")</f>
        <v>[right][img=119]res://textures/icons/0.png[/img]\n</v>
      </c>
      <c r="V9" s="4" t="str">
        <f>IFERROR(__xludf.DUMMYFUNCTION("SUBSTITUTE(SUBSTITUTE(SUBSTITUTE(SUBSTITUTE(REGEXREPLACE(SUBSTITUTE(SUBSTITUTE(SUBSTITUTE(SUBSTITUTE(REGEXREPLACE(I9, ""(\[([ROYGBPTQUXZC_]|1?[0-9])\])"", ""[img=45]res://textures/icons/$2.png[/img]""),""--"",""—""),""-&gt;"",""•""),""~@"", CONCATENATE(""[i]"&amp;""",REGEXEXTRACT(B9,""^([\s\S]*),|$""),""[/i]"")),""~"", CONCATENATE(""[i]"",B9,""[/i]"")),""(\([\s\S]*?\))"",""[i][color=#34343A]$0[/color][/i]""), ""&lt;"", ""[""), ""&gt;"", ""]""), ""[/p][p]"", ""[font_size=15]\n\n[/font_size]""), ""[br/]"", ""\n"")"),"[center][u]Transient[/u] [i][color=#34343A](If [i]Savings[/i] would enter your discard, instead remove it from the game.)[/color][/i], [u]Response[/u] [i][color=#34343A](You may deploy [i]Savings[/i] in response to other cards and effects.)[/color][/i][/c"&amp;"enter][p]Choose a card in your hand; it permanently costs [img=45]res://textures/icons/1.png[/img] less.[/p]")</f>
        <v xml:space="preserve">[center][u]Transient[/u] [i][color=#34343A](If [i]Savings[/i] would enter your discard, instead remove it from the game.)[/color][/i], [u]Response[/u] [i][color=#34343A](You may deploy [i]Savings[/i] in response to other cards and effects.)[/color][/i][/center][p]Choose a card in your hand; it permanently costs [img=45]res://textures/icons/1.png[/img] less.[/p]</v>
      </c>
      <c r="W9" s="4" t="str">
        <f t="shared" si="1"/>
        <v>[i]Effect[/i]</v>
      </c>
      <c r="X9" s="4" t="str">
        <f t="shared" si="2"/>
        <v>RT_0_008</v>
      </c>
      <c r="Y9" s="4"/>
      <c r="Z9" s="4"/>
      <c r="AA9" s="4"/>
      <c r="AB9" s="4"/>
    </row>
    <row r="10" ht="38.25">
      <c r="A10" s="4" t="s">
        <v>70</v>
      </c>
      <c r="B10" s="4" t="s">
        <v>71</v>
      </c>
      <c r="C10" s="5" t="s">
        <v>72</v>
      </c>
      <c r="D10" s="6" t="str">
        <f>IFERROR(__xludf.DUMMYFUNCTION("IF(EQ(A10,B10),"""",SWITCH(IF(T10="""",0,COUNTA(SPLIT(T10,"" ""))),0,""Generic"",1,TRIM(T10),2,""Multicolor"",3,""Multicolor"",4,""Multicolor"",5,""Multicolor"",6,""Multicolor"",7,""Multicolor"",8,""Multicolor""))"),"Multicolor")</f>
        <v>Multicolor</v>
      </c>
      <c r="E10" s="4"/>
      <c r="F10" s="4" t="s">
        <v>73</v>
      </c>
      <c r="G10" s="4" t="s">
        <v>74</v>
      </c>
      <c r="H10" s="5" t="s">
        <v>25</v>
      </c>
      <c r="I10" s="7" t="s">
        <v>75</v>
      </c>
      <c r="J10" s="7"/>
      <c r="K10" s="4" t="s">
        <v>29</v>
      </c>
      <c r="L10" s="4" t="s">
        <v>29</v>
      </c>
      <c r="M10" s="4"/>
      <c r="N10" s="4"/>
      <c r="O10" s="4"/>
      <c r="P10" s="4"/>
      <c r="Q10" s="8">
        <v>60</v>
      </c>
      <c r="R10" s="8">
        <v>50</v>
      </c>
      <c r="S10" s="4" t="str">
        <f t="shared" si="0"/>
        <v>False</v>
      </c>
      <c r="T10" s="4" t="str">
        <f>IFERROR(__xludf.DUMMYFUNCTION("CONCATENATE(if(REGEXMATCH(C10,""R""),"" Red"",""""),if(REGEXMATCH(C10,""O""),"" Orange"",""""),if(REGEXMATCH(C10,""Y""),"" Yellow"",""""),if(REGEXMATCH(C10,""G""),"" Green"",""""),if(REGEXMATCH(C10,""B""),"" Blue"",""""),if(REGEXMATCH(C10,""P""),"" Purple"&amp;""",""""))")," Red Orange Yellow Green Blue Purple")</f>
        <v xml:space="preserve">Red Orange Yellow Green Blue Purple</v>
      </c>
      <c r="U10" s="4" t="str">
        <f>IFERROR(__xludf.DUMMYFUNCTION("TRIM(CONCAT(""[right]"", REGEXREPLACE(C10, ""([ROYGBPXZC_]|1?[0-9])"", ""[img=119]res://textures/icons/$0.png[/img]\\n"")))"),"[right][img=119]res://textures/icons/R.png[/img]\n[img=119]res://textures/icons/O.png[/img]\n[img=119]res://textures/icons/Y.png[/img]\n[img=119]res://textures/icons/G.png[/img]\n[img=119]res://textures/icons/B.png[/img]\n[img=119]res://textures/icons/P.p"&amp;"ng[/img]\n")</f>
        <v>[right][img=119]res://textures/icons/R.png[/img]\n[img=119]res://textures/icons/O.png[/img]\n[img=119]res://textures/icons/Y.png[/img]\n[img=119]res://textures/icons/G.png[/img]\n[img=119]res://textures/icons/B.png[/img]\n[img=119]res://textures/icons/P.png[/img]\n</v>
      </c>
      <c r="V10" s="4" t="str">
        <f>IFERROR(__xludf.DUMMYFUNCTION("SUBSTITUTE(SUBSTITUTE(SUBSTITUTE(SUBSTITUTE(REGEXREPLACE(SUBSTITUTE(SUBSTITUTE(SUBSTITUTE(SUBSTITUTE(REGEXREPLACE(I10, ""(\[([ROYGBPTQUXZC_]|1?[0-9])\])"", ""[img=45]res://textures/icons/$2.png[/img]""),""--"",""—""),""-&gt;"",""•""),""~@"", CONCATENATE(""[i"&amp;"]"",REGEXEXTRACT(B10,""^([\s\S]*),|$""),""[/i]"")),""~"", CONCATENATE(""[i]"",B10,""[/i]"")),""(\([\s\S]*?\))"",""[i][color=#34343A]$0[/color][/i]""), ""&lt;"", ""[""), ""&gt;"", ""]""), ""[/p][p]"", ""[font_size=15]\n\n[/font_size]""), ""[br/]"", ""\n"")"),"[p][b][i]As Commander[/i] —[/b] [img=45]res://textures/icons/5.png[/img], [i]W.E.B[/i] loses 2 loyalty: Draw a card.[font_size=15]\n\n[/font_size][i][color=#34343A]([i]W.E.B[/i] can only be included in a deck as its commander.)[/color][/i][/p]")</f>
        <v xml:space="preserve">[p][b][i]As Commander[/i] —[/b] [img=45]res://textures/icons/5.png[/img], [i]W.E.B[/i] loses 2 loyalty: Draw a card.[font_size=15]\n\n[/font_size][i][color=#34343A]([i]W.E.B[/i] can only be included in a deck as its commander.)[/color][/i][/p]</v>
      </c>
      <c r="W10" s="4" t="str">
        <f t="shared" si="1"/>
        <v>[i]Commander[/i]</v>
      </c>
      <c r="X10" s="4" t="str">
        <f t="shared" si="2"/>
        <v>RT_0_CMDR</v>
      </c>
      <c r="Y10" s="4"/>
      <c r="Z10" s="4"/>
      <c r="AA10" s="4"/>
      <c r="AB10" s="4"/>
    </row>
    <row r="11" ht="127.5">
      <c r="A11" s="9" t="s">
        <v>76</v>
      </c>
      <c r="B11" s="1" t="s">
        <v>77</v>
      </c>
      <c r="C11" s="2" t="s">
        <v>78</v>
      </c>
      <c r="D11" s="6" t="str">
        <f>IFERROR(__xludf.DUMMYFUNCTION("IF(EQ(A11,B11),"""",SWITCH(IF(T11="""",0,COUNTA(SPLIT(T11,"" ""))),0,""Generic"",1,TRIM(T11),2,""Multicolor"",3,""Multicolor"",4,""Multicolor"",5,""Multicolor"",6,""Multicolor"",7,""Multicolor"",8,""Multicolor""))"),"Red")</f>
        <v>Red</v>
      </c>
      <c r="E11" s="1" t="s">
        <v>79</v>
      </c>
      <c r="F11" s="1" t="s">
        <v>73</v>
      </c>
      <c r="G11" s="1" t="s">
        <v>80</v>
      </c>
      <c r="H11" s="2" t="s">
        <v>81</v>
      </c>
      <c r="I11" s="3" t="s">
        <v>82</v>
      </c>
      <c r="J11" s="3" t="s">
        <v>83</v>
      </c>
      <c r="K11" s="1">
        <v>4</v>
      </c>
      <c r="L11" s="1">
        <v>4</v>
      </c>
      <c r="O11" s="3"/>
      <c r="Q11" s="1">
        <v>45</v>
      </c>
      <c r="R11" s="1">
        <v>35</v>
      </c>
      <c r="S11" s="4" t="str">
        <f t="shared" si="0"/>
        <v>True</v>
      </c>
      <c r="T11" s="4" t="str">
        <f>IFERROR(__xludf.DUMMYFUNCTION("CONCATENATE(if(REGEXMATCH(C11,""R""),"" Red"",""""),if(REGEXMATCH(C11,""O""),"" Orange"",""""),if(REGEXMATCH(C11,""Y""),"" Yellow"",""""),if(REGEXMATCH(C11,""G""),"" Green"",""""),if(REGEXMATCH(C11,""B""),"" Blue"",""""),if(REGEXMATCH(C11,""P""),"" Purple"&amp;""",""""))")," Red")</f>
        <v>Red</v>
      </c>
      <c r="U11" s="4" t="str">
        <f>IFERROR(__xludf.DUMMYFUNCTION("TRIM(CONCAT(""[right]"", REGEXREPLACE(C11, ""([ROYGBPXZC_]|1?[0-9])"", ""[img=119]res://textures/icons/$0.png[/img]\\n"")))"),"[right][img=119]res://textures/icons/2.png[/img]\n[img=119]res://textures/icons/R.png[/img]\n")</f>
        <v>[right][img=119]res://textures/icons/2.png[/img]\n[img=119]res://textures/icons/R.png[/img]\n</v>
      </c>
      <c r="V11" s="4" t="str">
        <f>IFERROR(__xludf.DUMMYFUNCTION("SUBSTITUTE(SUBSTITUTE(SUBSTITUTE(SUBSTITUTE(REGEXREPLACE(SUBSTITUTE(SUBSTITUTE(SUBSTITUTE(SUBSTITUTE(REGEXREPLACE(I11, ""(\[([ROYGBPTQUXZC_]|1?[0-9])\])"", ""[img=45]res://textures/icons/$2.png[/img]""),""--"",""—""),""-&gt;"",""•""),""~@"", CONCATENATE(""[i"&amp;"]"",REGEXEXTRACT(B11,""^([\s\S]*),|$""),""[/i]"")),""~"", CONCATENATE(""[i]"",B11,""[/i]"")),""(\([\s\S]*?\))"",""[i][color=#34343A]$0[/color][/i]""), ""&lt;"", ""[""), ""&gt;"", ""]""), ""[/p][p]"", ""[font_size=15]\n\n[/font_size]""), ""[br/]"", ""\n"")"),"[center][i][color=#34343A](Becomes [i]'Lux's Quest'[/i] if you already control Lux.)[/color][/i] [u]Warrant[/u][/center][p][b][i]As Commander[/i] —[/b] Whenever an asset you don't control leaves the battlefield or comes under your control, you may look at"&amp;" the top 2 cards of your deck, reorder them, and then send any number of them to your discard.[font_size=15]\n\n[/font_size][b][i]As Asset[/i] —[/b] Whenever Lux deals combat damage to a commander, put the top 2 cards of that commander's owner's deck unde"&amp;"r her. Treat those cards as if they were in your hand.[/p]")</f>
        <v xml:space="preserve">[center][i][color=#34343A](Becomes [i]'Lux's Quest'[/i] if you already control Lux.)[/color][/i] [u]Warrant[/u][/center][p][b][i]As Commander[/i] —[/b] Whenever an asset you don't control leaves the battlefield or comes under your control, you may look at the top 2 cards of your deck, reorder them, and then send any number of them to your discard.[font_size=15]\n\n[/font_size][b][i]As Asset[/i] —[/b] Whenever Lux deals combat damage to a commander, put the top 2 cards of that commander's owner's deck under her. Treat those cards as if they were in your hand.[/p]</v>
      </c>
      <c r="W11" s="4" t="str">
        <f t="shared" si="1"/>
        <v>[i]Commander[/i]</v>
      </c>
      <c r="X11" s="4" t="str">
        <f t="shared" si="2"/>
        <v>RT_R_CMDR_1</v>
      </c>
    </row>
    <row r="12" ht="153" outlineLevel="1">
      <c r="A12" s="1" t="s">
        <v>84</v>
      </c>
      <c r="B12" s="4" t="s">
        <v>85</v>
      </c>
      <c r="C12" s="5" t="s">
        <v>86</v>
      </c>
      <c r="D12" s="6" t="str">
        <f>IFERROR(__xludf.DUMMYFUNCTION("IF(EQ(A12,B12),"""",SWITCH(IF(T12="""",0,COUNTA(SPLIT(T12,"" ""))),0,""Generic"",1,TRIM(T12),2,""Multicolor"",3,""Multicolor"",4,""Multicolor"",5,""Multicolor"",6,""Multicolor"",7,""Multicolor"",8,""Multicolor""))"),"Red")</f>
        <v>Red</v>
      </c>
      <c r="E12" s="4"/>
      <c r="F12" s="4" t="s">
        <v>87</v>
      </c>
      <c r="G12" s="4" t="s">
        <v>88</v>
      </c>
      <c r="H12" s="5" t="s">
        <v>81</v>
      </c>
      <c r="I12" s="10" t="s">
        <v>89</v>
      </c>
      <c r="J12" s="7" t="s">
        <v>90</v>
      </c>
      <c r="K12" s="1"/>
      <c r="L12" s="1"/>
      <c r="O12" s="3"/>
      <c r="Q12" s="1">
        <v>60</v>
      </c>
      <c r="R12" s="1">
        <v>50</v>
      </c>
      <c r="S12" s="4" t="str">
        <f t="shared" si="0"/>
        <v>False</v>
      </c>
      <c r="T12" s="4" t="str">
        <f>IFERROR(__xludf.DUMMYFUNCTION("CONCATENATE(if(REGEXMATCH(C12,""R""),"" Red"",""""),if(REGEXMATCH(C12,""O""),"" Orange"",""""),if(REGEXMATCH(C12,""Y""),"" Yellow"",""""),if(REGEXMATCH(C12,""G""),"" Green"",""""),if(REGEXMATCH(C12,""B""),"" Blue"",""""),if(REGEXMATCH(C12,""P""),"" Purple"&amp;""",""""))")," Red")</f>
        <v>Red</v>
      </c>
      <c r="U12" s="4" t="str">
        <f>IFERROR(__xludf.DUMMYFUNCTION("TRIM(CONCAT(""[right]"", REGEXREPLACE(C12, ""([ROYGBPXZC_]|1?[0-9])"", ""[img=119]res://textures/icons/$0.png[/img]\\n"")))"),"[right][img=119]res://textures/icons/1.png[/img]\n[img=119]res://textures/icons/R.png[/img]\n[img=119]res://textures/icons/R.png[/img]\n")</f>
        <v>[right][img=119]res://textures/icons/1.png[/img]\n[img=119]res://textures/icons/R.png[/img]\n[img=119]res://textures/icons/R.png[/img]\n</v>
      </c>
      <c r="V12" s="4" t="str">
        <f>IFERROR(__xludf.DUMMYFUNCTION("SUBSTITUTE(SUBSTITUTE(SUBSTITUTE(SUBSTITUTE(REGEXREPLACE(SUBSTITUTE(SUBSTITUTE(SUBSTITUTE(SUBSTITUTE(REGEXREPLACE(I12, ""(\[([ROYGBPTQUXZC_]|1?[0-9])\])"", ""[img=45]res://textures/icons/$2.png[/img]""),""--"",""—""),""-&gt;"",""•""),""~@"", CONCATENATE(""[i"&amp;"]"",REGEXEXTRACT(B12,""^([\s\S]*),|$""),""[/i]"")),""~"", CONCATENATE(""[i]"",B12,""[/i]"")),""(\([\s\S]*?\))"",""[i][color=#34343A]$0[/color][/i]""), ""&lt;"", ""[""), ""&gt;"", ""]""), ""[/p][p]"", ""[font_size=15]\n\n[/font_size]""), ""[br/]"", ""\n"")"),"[center][i][color=#34343A](This effect can only be deployed if you control a renowned asset. Banked energy can't be spent to deploy renowned cards.)[/color][/i][/center][p]Choose an asset; permanently gain control of it.[font_size=15]\n\n[/font_size][u]Pe"&amp;"rsonal[/u] [i][color=#34343A](Shuffle [i]'Lexi 'Lux' Xenos, Beacon's Captain'[/i] into your deck.)[/color][/i][/p]")</f>
        <v xml:space="preserve">[center][i][color=#34343A](This effect can only be deployed if you control a renowned asset. Banked energy can't be spent to deploy renowned cards.)[/color][/i][/center][p]Choose an asset; permanently gain control of it.[font_size=15]\n\n[/font_size][u]Personal[/u] [i][color=#34343A](Shuffle [i]'Lexi 'Lux' Xenos, Beacon's Captain'[/i] into your deck.)[/color][/i][/p]</v>
      </c>
      <c r="W12" s="4" t="str">
        <f t="shared" si="1"/>
        <v xml:space="preserve">[i]R. Effect[/i]</v>
      </c>
      <c r="X12" s="4" t="str">
        <f t="shared" si="2"/>
        <v>RT_R_CMDR_1b</v>
      </c>
    </row>
    <row r="13" ht="76.5" outlineLevel="1">
      <c r="A13" s="1" t="s">
        <v>91</v>
      </c>
      <c r="B13" s="1" t="s">
        <v>92</v>
      </c>
      <c r="C13" s="2" t="s">
        <v>93</v>
      </c>
      <c r="D13" s="6" t="str">
        <f>IFERROR(__xludf.DUMMYFUNCTION("IF(EQ(A13,B13),"""",SWITCH(IF(T13="""",0,COUNTA(SPLIT(T13,"" ""))),0,""Generic"",1,TRIM(T13),2,""Multicolor"",3,""Multicolor"",4,""Multicolor"",5,""Multicolor"",6,""Multicolor"",7,""Multicolor"",8,""Multicolor""))"),"Red")</f>
        <v>Red</v>
      </c>
      <c r="E13" s="1" t="s">
        <v>51</v>
      </c>
      <c r="F13" s="1" t="s">
        <v>94</v>
      </c>
      <c r="G13" s="1" t="s">
        <v>95</v>
      </c>
      <c r="H13" s="2" t="s">
        <v>96</v>
      </c>
      <c r="I13" s="3" t="s">
        <v>97</v>
      </c>
      <c r="J13" s="3" t="s">
        <v>98</v>
      </c>
      <c r="K13" s="1">
        <v>2</v>
      </c>
      <c r="L13" s="1">
        <v>8</v>
      </c>
      <c r="O13" s="3"/>
      <c r="Q13" s="1">
        <v>45</v>
      </c>
      <c r="R13" s="1">
        <v>35</v>
      </c>
      <c r="S13" s="4" t="str">
        <f t="shared" si="0"/>
        <v>True</v>
      </c>
      <c r="T13" s="4" t="str">
        <f>IFERROR(__xludf.DUMMYFUNCTION("CONCATENATE(if(REGEXMATCH(C13,""R""),"" Red"",""""),if(REGEXMATCH(C13,""O""),"" Orange"",""""),if(REGEXMATCH(C13,""Y""),"" Yellow"",""""),if(REGEXMATCH(C13,""G""),"" Green"",""""),if(REGEXMATCH(C13,""B""),"" Blue"",""""),if(REGEXMATCH(C13,""P""),"" Purple"&amp;""",""""))")," Red")</f>
        <v>Red</v>
      </c>
      <c r="U13" s="4" t="str">
        <f>IFERROR(__xludf.DUMMYFUNCTION("TRIM(CONCAT(""[right]"", REGEXREPLACE(C13, ""([ROYGBPXZC_]|1?[0-9])"", ""[img=119]res://textures/icons/$0.png[/img]\\n"")))"),"[right][img=119]res://textures/icons/3.png[/img]\n[img=119]res://textures/icons/R.png[/img]\n")</f>
        <v>[right][img=119]res://textures/icons/3.png[/img]\n[img=119]res://textures/icons/R.png[/img]\n</v>
      </c>
      <c r="V13" s="4" t="str">
        <f>IFERROR(__xludf.DUMMYFUNCTION("SUBSTITUTE(SUBSTITUTE(SUBSTITUTE(SUBSTITUTE(REGEXREPLACE(SUBSTITUTE(SUBSTITUTE(SUBSTITUTE(SUBSTITUTE(REGEXREPLACE(I13, ""(\[([ROYGBPTQUXZC_]|1?[0-9])\])"", ""[img=45]res://textures/icons/$2.png[/img]""),""--"",""—""),""-&gt;"",""•""),""~@"", CONCATENATE(""[i"&amp;"]"",REGEXEXTRACT(B13,""^([\s\S]*),|$""),""[/i]"")),""~"", CONCATENATE(""[i]"",B13,""[/i]"")),""(\([\s\S]*?\))"",""[i][color=#34343A]$0[/color][/i]""), ""&lt;"", ""[""), ""&gt;"", ""]""), ""[/p][p]"", ""[font_size=15]\n\n[/font_size]""), ""[br/]"", ""\n"")"),"[center][i][color=#34343A](Becomes [i]'Lina's Tinkering'[/i] if you already control [i]Lina Pathak, Beacon's Head Technician[/i].)[/color][/i]\n[u]Warrant[/u] [i][color=#34343A](When [i]Lina Pathak[/i] enters the battlefield, shuffle an 'Incarceration' in"&amp;"to your deck.)[/color][/i][/center][p]Whenever you gain control of an asset an opponent controls, shuffle a [i]Prototype Tractor Beam'[/i] into your deck.[/p]")</f>
        <v xml:space="preserve">[center][i][color=#34343A](Becomes [i]'Lina's Tinkering'[/i] if you already control [i]Lina Pathak, Beacon's Head Technician[/i].)[/color][/i]\n[u]Warrant[/u] [i][color=#34343A](When [i]Lina Pathak[/i] enters the battlefield, shuffle an 'Incarceration' into your deck.)[/color][/i][/center][p]Whenever you gain control of an asset an opponent controls, shuffle a [i]Prototype Tractor Beam'[/i] into your deck.[/p]</v>
      </c>
      <c r="W13" s="4" t="str">
        <f t="shared" si="1"/>
        <v xml:space="preserve">[i]R. Asset[/i]</v>
      </c>
      <c r="X13" s="4" t="str">
        <f t="shared" si="2"/>
        <v>RT_RR_001</v>
      </c>
    </row>
    <row r="14" ht="89.25" outlineLevel="1">
      <c r="A14" s="1" t="s">
        <v>99</v>
      </c>
      <c r="B14" s="1" t="s">
        <v>100</v>
      </c>
      <c r="C14" s="2" t="s">
        <v>93</v>
      </c>
      <c r="D14" s="6" t="str">
        <f>IFERROR(__xludf.DUMMYFUNCTION("IF(EQ(A14,B14),"""",SWITCH(IF(T14="""",0,COUNTA(SPLIT(T14,"" ""))),0,""Generic"",1,TRIM(T14),2,""Multicolor"",3,""Multicolor"",4,""Multicolor"",5,""Multicolor"",6,""Multicolor"",7,""Multicolor"",8,""Multicolor""))"),"Red")</f>
        <v>Red</v>
      </c>
      <c r="E14" s="1"/>
      <c r="F14" s="1" t="s">
        <v>87</v>
      </c>
      <c r="G14" s="1" t="s">
        <v>101</v>
      </c>
      <c r="H14" s="2" t="s">
        <v>25</v>
      </c>
      <c r="I14" s="11" t="s">
        <v>102</v>
      </c>
      <c r="J14" s="3"/>
      <c r="O14" s="3"/>
      <c r="Q14" s="1">
        <v>60</v>
      </c>
      <c r="R14" s="1">
        <v>40</v>
      </c>
      <c r="S14" s="4" t="str">
        <f t="shared" si="0"/>
        <v>False</v>
      </c>
      <c r="T14" s="4" t="str">
        <f>IFERROR(__xludf.DUMMYFUNCTION("CONCATENATE(if(REGEXMATCH(C14,""R""),"" Red"",""""),if(REGEXMATCH(C14,""O""),"" Orange"",""""),if(REGEXMATCH(C14,""Y""),"" Yellow"",""""),if(REGEXMATCH(C14,""G""),"" Green"",""""),if(REGEXMATCH(C14,""B""),"" Blue"",""""),if(REGEXMATCH(C14,""P""),"" Purple"&amp;""",""""))")," Red")</f>
        <v>Red</v>
      </c>
      <c r="U14" s="4" t="str">
        <f>IFERROR(__xludf.DUMMYFUNCTION("TRIM(CONCAT(""[right]"", REGEXREPLACE(C14, ""([ROYGBPXZC_]|1?[0-9])"", ""[img=119]res://textures/icons/$0.png[/img]\\n"")))"),"[right][img=119]res://textures/icons/3.png[/img]\n[img=119]res://textures/icons/R.png[/img]\n")</f>
        <v>[right][img=119]res://textures/icons/3.png[/img]\n[img=119]res://textures/icons/R.png[/img]\n</v>
      </c>
      <c r="V14" s="4" t="str">
        <f>IFERROR(__xludf.DUMMYFUNCTION("SUBSTITUTE(SUBSTITUTE(SUBSTITUTE(SUBSTITUTE(REGEXREPLACE(SUBSTITUTE(SUBSTITUTE(SUBSTITUTE(SUBSTITUTE(REGEXREPLACE(I14, ""(\[([ROYGBPTQUXZC_]|1?[0-9])\])"", ""[img=45]res://textures/icons/$2.png[/img]""),""--"",""—""),""-&gt;"",""•""),""~@"", CONCATENATE(""[i"&amp;"]"",REGEXEXTRACT(B14,""^([\s\S]*),|$""),""[/i]"")),""~"", CONCATENATE(""[i]"",B14,""[/i]"")),""(\([\s\S]*?\))"",""[i][color=#34343A]$0[/color][/i]""), ""&lt;"", ""[""), ""&gt;"", ""]""), ""[/p][p]"", ""[font_size=15]\n\n[/font_size]""), ""[br/]"", ""\n"")"),"[center][i][color=#34343A](This effect can only be deployed if you control a renowned asset. Banked energy can't be spent to deploy renowned cards.)[/color][/i][/center][p]Choose a non-combatant asset in your hand or on the battlefield and another in your"&amp;" discard; swap them.[font_size=15]\n\n[/font_size][u]Personal[/u] [i][color=#34343A](Shuffle [i]'Lina Pathak, Beacon's Head Technician'[/i] into your deck.)[/color][/i][/p]")</f>
        <v xml:space="preserve">[center][i][color=#34343A](This effect can only be deployed if you control a renowned asset. Banked energy can't be spent to deploy renowned cards.)[/color][/i][/center][p]Choose a non-combatant asset in your hand or on the battlefield and another in your discard; swap them.[font_size=15]\n\n[/font_size][u]Personal[/u] [i][color=#34343A](Shuffle [i]'Lina Pathak, Beacon's Head Technician'[/i] into your deck.)[/color][/i][/p]</v>
      </c>
      <c r="W14" s="4" t="str">
        <f t="shared" si="1"/>
        <v xml:space="preserve">[i]R. Effect[/i]</v>
      </c>
      <c r="X14" s="4" t="str">
        <f t="shared" si="2"/>
        <v>RT_RR_001b</v>
      </c>
    </row>
    <row r="15" ht="102" outlineLevel="1">
      <c r="A15" s="1" t="s">
        <v>103</v>
      </c>
      <c r="B15" s="1" t="s">
        <v>104</v>
      </c>
      <c r="C15" s="2" t="s">
        <v>86</v>
      </c>
      <c r="D15" s="6" t="str">
        <f>IFERROR(__xludf.DUMMYFUNCTION("IF(EQ(A15,B15),"""",SWITCH(IF(T15="""",0,COUNTA(SPLIT(T15,"" ""))),0,""Generic"",1,TRIM(T15),2,""Multicolor"",3,""Multicolor"",4,""Multicolor"",5,""Multicolor"",6,""Multicolor"",7,""Multicolor"",8,""Multicolor""))"),"Red")</f>
        <v>Red</v>
      </c>
      <c r="E15" s="1"/>
      <c r="F15" s="1" t="s">
        <v>94</v>
      </c>
      <c r="G15" s="1" t="s">
        <v>105</v>
      </c>
      <c r="H15" s="2" t="s">
        <v>96</v>
      </c>
      <c r="I15" s="3" t="s">
        <v>106</v>
      </c>
      <c r="J15" s="3" t="s">
        <v>107</v>
      </c>
      <c r="O15" s="3"/>
      <c r="Q15" s="1">
        <v>45</v>
      </c>
      <c r="R15" s="1">
        <v>50</v>
      </c>
      <c r="S15" s="4" t="str">
        <f t="shared" si="0"/>
        <v>False</v>
      </c>
      <c r="T15" s="4" t="str">
        <f>IFERROR(__xludf.DUMMYFUNCTION("CONCATENATE(if(REGEXMATCH(C15,""R""),"" Red"",""""),if(REGEXMATCH(C15,""O""),"" Orange"",""""),if(REGEXMATCH(C15,""Y""),"" Yellow"",""""),if(REGEXMATCH(C15,""G""),"" Green"",""""),if(REGEXMATCH(C15,""B""),"" Blue"",""""),if(REGEXMATCH(C15,""P""),"" Purple"&amp;""",""""))")," Red")</f>
        <v>Red</v>
      </c>
      <c r="U15" s="4" t="str">
        <f>IFERROR(__xludf.DUMMYFUNCTION("TRIM(CONCAT(""[right]"", REGEXREPLACE(C15, ""([ROYGBPXZC_]|1?[0-9])"", ""[img=119]res://textures/icons/$0.png[/img]\\n"")))"),"[right][img=119]res://textures/icons/1.png[/img]\n[img=119]res://textures/icons/R.png[/img]\n[img=119]res://textures/icons/R.png[/img]\n")</f>
        <v>[right][img=119]res://textures/icons/1.png[/img]\n[img=119]res://textures/icons/R.png[/img]\n[img=119]res://textures/icons/R.png[/img]\n</v>
      </c>
      <c r="V15" s="4" t="str">
        <f>IFERROR(__xludf.DUMMYFUNCTION("SUBSTITUTE(SUBSTITUTE(SUBSTITUTE(SUBSTITUTE(REGEXREPLACE(SUBSTITUTE(SUBSTITUTE(SUBSTITUTE(SUBSTITUTE(REGEXREPLACE(I15, ""(\[([ROYGBPTQUXZC_]|1?[0-9])\])"", ""[img=45]res://textures/icons/$2.png[/img]""),""--"",""—""),""-&gt;"",""•""),""~@"", CONCATENATE(""[i"&amp;"]"",REGEXEXTRACT(B15,""^([\s\S]*),|$""),""[/i]"")),""~"", CONCATENATE(""[i]"",B15,""[/i]"")),""(\([\s\S]*?\))"",""[i][color=#34343A]$0[/color][/i]""), ""&lt;"", ""[""), ""&gt;"", ""]""), ""[/p][p]"", ""[font_size=15]\n\n[/font_size]""), ""[br/]"", ""\n"")"),"When [i]Prototype Tractor Beam[/i] enters the battlefield, choose a combatant to attach it to.[p]The attached asset gains [u]sluggish[/u] [i][color=#34343A](The specified asset deals combat damage after assets without sluggish.)[/color][/i], ranged, and "&amp;"""whenever this asset deals combat damage to a commander, gain control of an asset that commander's controller controls with [u]generalized cost[/u] less than or equal to this asset's attack power, then [u]forfeit[/u] [i]Prototype Tractor Beam[/i].""[/p]")</f>
        <v xml:space="preserve">When [i]Prototype Tractor Beam[/i] enters the battlefield, choose a combatant to attach it to.[p]The attached asset gains [u]sluggish[/u] [i][color=#34343A](The specified asset deals combat damage after assets without sluggish.)[/color][/i], ranged, and "whenever this asset deals combat damage to a commander, gain control of an asset that commander's controller controls with [u]generalized cost[/u] less than or equal to this asset's attack power, then [u]forfeit[/u] [i]Prototype Tractor Beam[/i]."[/p]</v>
      </c>
      <c r="W15" s="4" t="str">
        <f t="shared" si="1"/>
        <v xml:space="preserve">[i]R. Asset[/i]</v>
      </c>
      <c r="X15" s="4" t="str">
        <f t="shared" si="2"/>
        <v>RT_RR_002</v>
      </c>
    </row>
    <row r="16" ht="76.5" outlineLevel="1">
      <c r="A16" s="1" t="s">
        <v>108</v>
      </c>
      <c r="B16" s="1" t="s">
        <v>109</v>
      </c>
      <c r="C16" s="2" t="s">
        <v>110</v>
      </c>
      <c r="D16" s="6" t="str">
        <f>IFERROR(__xludf.DUMMYFUNCTION("IF(EQ(A16,B16),"""",SWITCH(IF(T16="""",0,COUNTA(SPLIT(T16,"" ""))),0,""Generic"",1,TRIM(T16),2,""Multicolor"",3,""Multicolor"",4,""Multicolor"",5,""Multicolor"",6,""Multicolor"",7,""Multicolor"",8,""Multicolor""))"),"Red")</f>
        <v>Red</v>
      </c>
      <c r="E16" s="1"/>
      <c r="F16" s="1" t="s">
        <v>87</v>
      </c>
      <c r="H16" s="2" t="s">
        <v>96</v>
      </c>
      <c r="I16" s="3" t="s">
        <v>111</v>
      </c>
      <c r="J16" s="3"/>
      <c r="O16" s="3"/>
      <c r="Q16" s="1">
        <v>60</v>
      </c>
      <c r="R16" s="1">
        <v>50</v>
      </c>
      <c r="S16" s="4" t="str">
        <f t="shared" si="0"/>
        <v>False</v>
      </c>
      <c r="T16" s="4" t="str">
        <f>IFERROR(__xludf.DUMMYFUNCTION("CONCATENATE(if(REGEXMATCH(C16,""R""),"" Red"",""""),if(REGEXMATCH(C16,""O""),"" Orange"",""""),if(REGEXMATCH(C16,""Y""),"" Yellow"",""""),if(REGEXMATCH(C16,""G""),"" Green"",""""),if(REGEXMATCH(C16,""B""),"" Blue"",""""),if(REGEXMATCH(C16,""P""),"" Purple"&amp;""",""""))")," Red")</f>
        <v>Red</v>
      </c>
      <c r="U16" s="4" t="str">
        <f>IFERROR(__xludf.DUMMYFUNCTION("TRIM(CONCAT(""[right]"", REGEXREPLACE(C16, ""([ROYGBPXZC_]|1?[0-9])"", ""[img=119]res://textures/icons/$0.png[/img]\\n"")))"),"[right][img=119]res://textures/icons/3.png[/img]\n[img=119]res://textures/icons/R.png[/img]\n[img=119]res://textures/icons/R.png[/img]\n")</f>
        <v>[right][img=119]res://textures/icons/3.png[/img]\n[img=119]res://textures/icons/R.png[/img]\n[img=119]res://textures/icons/R.png[/img]\n</v>
      </c>
      <c r="V16" s="4" t="str">
        <f>IFERROR(__xludf.DUMMYFUNCTION("SUBSTITUTE(SUBSTITUTE(SUBSTITUTE(SUBSTITUTE(REGEXREPLACE(SUBSTITUTE(SUBSTITUTE(SUBSTITUTE(SUBSTITUTE(REGEXREPLACE(I16, ""(\[([ROYGBPTQUXZC_]|1?[0-9])\])"", ""[img=45]res://textures/icons/$2.png[/img]""),""--"",""—""),""-&gt;"",""•""),""~@"", CONCATENATE(""[i"&amp;"]"",REGEXEXTRACT(B16,""^([\s\S]*),|$""),""[/i]"")),""~"", CONCATENATE(""[i]"",B16,""[/i]"")),""(\([\s\S]*?\))"",""[i][color=#34343A]$0[/color][/i]""), ""&lt;"", ""[""), ""&gt;"", ""]""), ""[/p][p]"", ""[font_size=15]\n\n[/font_size]""), ""[br/]"", ""\n"")"),"[center][i][color=#34343A](This effect can only be deployed if you control a renowned asset. Banked energy can't be spent to deploy renowned cards.)[/color][/i]\n[u]Warrant[/u] [i][color=#34343A](When you deploy [i]Commandeer[/i], shuffle an 'Incarceratio"&amp;"n' into your deck.)[/color][/i][/center][p]Choose an asset or generator; permanently gain control of it.[/p]")</f>
        <v xml:space="preserve">[center][i][color=#34343A](This effect can only be deployed if you control a renowned asset. Banked energy can't be spent to deploy renowned cards.)[/color][/i]\n[u]Warrant[/u] [i][color=#34343A](When you deploy [i]Commandeer[/i], shuffle an 'Incarceration' into your deck.)[/color][/i][/center][p]Choose an asset or generator; permanently gain control of it.[/p]</v>
      </c>
      <c r="W16" s="4" t="str">
        <f t="shared" si="1"/>
        <v xml:space="preserve">[i]R. Effect[/i]</v>
      </c>
      <c r="X16" s="4" t="str">
        <f t="shared" si="2"/>
        <v>RT_RR_003</v>
      </c>
    </row>
    <row r="17" ht="89.25" outlineLevel="1">
      <c r="A17" s="1" t="s">
        <v>112</v>
      </c>
      <c r="B17" s="1" t="s">
        <v>113</v>
      </c>
      <c r="C17" s="2" t="s">
        <v>114</v>
      </c>
      <c r="D17" s="6" t="str">
        <f>IFERROR(__xludf.DUMMYFUNCTION("IF(EQ(A17,B17),"""",SWITCH(IF(T17="""",0,COUNTA(SPLIT(T17,"" ""))),0,""Generic"",1,TRIM(T17),2,""Multicolor"",3,""Multicolor"",4,""Multicolor"",5,""Multicolor"",6,""Multicolor"",7,""Multicolor"",8,""Multicolor""))"),"Red")</f>
        <v>Red</v>
      </c>
      <c r="E17" s="1"/>
      <c r="F17" s="1" t="s">
        <v>33</v>
      </c>
      <c r="H17" s="2" t="s">
        <v>96</v>
      </c>
      <c r="I17" s="3" t="s">
        <v>115</v>
      </c>
      <c r="J17" s="3"/>
      <c r="O17" s="3"/>
      <c r="Q17" s="1">
        <v>45</v>
      </c>
      <c r="R17" s="1">
        <v>50</v>
      </c>
      <c r="S17" s="4" t="str">
        <f t="shared" si="0"/>
        <v>False</v>
      </c>
      <c r="T17" s="4" t="str">
        <f>IFERROR(__xludf.DUMMYFUNCTION("CONCATENATE(if(REGEXMATCH(C17,""R""),"" Red"",""""),if(REGEXMATCH(C17,""O""),"" Orange"",""""),if(REGEXMATCH(C17,""Y""),"" Yellow"",""""),if(REGEXMATCH(C17,""G""),"" Green"",""""),if(REGEXMATCH(C17,""B""),"" Blue"",""""),if(REGEXMATCH(C17,""P""),"" Purple"&amp;""",""""))")," Red")</f>
        <v>Red</v>
      </c>
      <c r="U17" s="4" t="str">
        <f>IFERROR(__xludf.DUMMYFUNCTION("TRIM(CONCAT(""[right]"", REGEXREPLACE(C17, ""([ROYGBPXZC_]|1?[0-9])"", ""[img=119]res://textures/icons/$0.png[/img]\\n"")))"),"[right][img=119]res://textures/icons/2.png[/img]\n[img=119]res://textures/icons/R.png[/img]\n[img=119]res://textures/icons/R.png[/img]\n")</f>
        <v>[right][img=119]res://textures/icons/2.png[/img]\n[img=119]res://textures/icons/R.png[/img]\n[img=119]res://textures/icons/R.png[/img]\n</v>
      </c>
      <c r="V17" s="4" t="str">
        <f>IFERROR(__xludf.DUMMYFUNCTION("SUBSTITUTE(SUBSTITUTE(SUBSTITUTE(SUBSTITUTE(REGEXREPLACE(SUBSTITUTE(SUBSTITUTE(SUBSTITUTE(SUBSTITUTE(REGEXREPLACE(I17, ""(\[([ROYGBPTQUXZC_]|1?[0-9])\])"", ""[img=45]res://textures/icons/$2.png[/img]""),""--"",""—""),""-&gt;"",""•""),""~@"", CONCATENATE(""[i"&amp;"]"",REGEXEXTRACT(B17,""^([\s\S]*),|$""),""[/i]"")),""~"", CONCATENATE(""[i]"",B17,""[/i]"")),""(\([\s\S]*?\))"",""[i][color=#34343A]$0[/color][/i]""), ""&lt;"", ""[""), ""&gt;"", ""]""), ""[/p][p]"", ""[font_size=15]\n\n[/font_size]""), ""[br/]"", ""\n"")"),"[center][u]Warrant[/u] [i][color=#34343A](When you deploy [i]Mechanized Martial Arts[/i], shuffle an 'Incarceration' into your deck.)[/color][/i][/center][p]Choose one:[ul]Choose a combatant; kill it.\nChoose a combatant; its owner [u]forfeits[/u] [i][col"&amp;"or=#34343A](Put the specified assets into their owners' discards.)[/color][/i] all equipment attached to it [i][color=#34343A](tradeable can't be activated in response to this effect.)[/color][/i][/ul][/p]")</f>
        <v xml:space="preserve">[center][u]Warrant[/u] [i][color=#34343A](When you deploy [i]Mechanized Martial Arts[/i], shuffle an 'Incarceration' into your deck.)[/color][/i][/center][p]Choose one:[ul]Choose a combatant; kill it.\nChoose a combatant; its owner [u]forfeits[/u] [i][color=#34343A](Put the specified assets into their owners' discards.)[/color][/i] all equipment attached to it [i][color=#34343A](tradeable can't be activated in response to this effect.)[/color][/i][/ul][/p]</v>
      </c>
      <c r="W17" s="4" t="str">
        <f t="shared" si="1"/>
        <v>[i]Effect[/i]</v>
      </c>
      <c r="X17" s="4" t="str">
        <f t="shared" si="2"/>
        <v>RT_RR_004</v>
      </c>
    </row>
    <row r="18" ht="63.75" outlineLevel="1">
      <c r="A18" s="1" t="s">
        <v>116</v>
      </c>
      <c r="B18" s="1" t="s">
        <v>117</v>
      </c>
      <c r="C18" s="2" t="s">
        <v>93</v>
      </c>
      <c r="D18" s="6" t="str">
        <f>IFERROR(__xludf.DUMMYFUNCTION("IF(EQ(A18,B18),"""",SWITCH(IF(T18="""",0,COUNTA(SPLIT(T18,"" ""))),0,""Generic"",1,TRIM(T18),2,""Multicolor"",3,""Multicolor"",4,""Multicolor"",5,""Multicolor"",6,""Multicolor"",7,""Multicolor"",8,""Multicolor""))"),"Red")</f>
        <v>Red</v>
      </c>
      <c r="E18" s="1"/>
      <c r="F18" s="1" t="s">
        <v>33</v>
      </c>
      <c r="G18" s="1" t="s">
        <v>118</v>
      </c>
      <c r="H18" s="2" t="s">
        <v>119</v>
      </c>
      <c r="I18" s="3" t="s">
        <v>120</v>
      </c>
      <c r="J18" s="3"/>
      <c r="O18" s="3"/>
      <c r="Q18" s="1">
        <v>60</v>
      </c>
      <c r="R18" s="1">
        <v>50</v>
      </c>
      <c r="S18" s="4" t="str">
        <f t="shared" si="0"/>
        <v>False</v>
      </c>
      <c r="T18" s="4" t="str">
        <f>IFERROR(__xludf.DUMMYFUNCTION("CONCATENATE(if(REGEXMATCH(C18,""R""),"" Red"",""""),if(REGEXMATCH(C18,""O""),"" Orange"",""""),if(REGEXMATCH(C18,""Y""),"" Yellow"",""""),if(REGEXMATCH(C18,""G""),"" Green"",""""),if(REGEXMATCH(C18,""B""),"" Blue"",""""),if(REGEXMATCH(C18,""P""),"" Purple"&amp;""",""""))")," Red")</f>
        <v>Red</v>
      </c>
      <c r="U18" s="4" t="str">
        <f>IFERROR(__xludf.DUMMYFUNCTION("TRIM(CONCAT(""[right]"", REGEXREPLACE(C18, ""([ROYGBPXZC_]|1?[0-9])"", ""[img=119]res://textures/icons/$0.png[/img]\\n"")))"),"[right][img=119]res://textures/icons/3.png[/img]\n[img=119]res://textures/icons/R.png[/img]\n")</f>
        <v>[right][img=119]res://textures/icons/3.png[/img]\n[img=119]res://textures/icons/R.png[/img]\n</v>
      </c>
      <c r="V18" s="4" t="str">
        <f>IFERROR(__xludf.DUMMYFUNCTION("SUBSTITUTE(SUBSTITUTE(SUBSTITUTE(SUBSTITUTE(REGEXREPLACE(SUBSTITUTE(SUBSTITUTE(SUBSTITUTE(SUBSTITUTE(REGEXREPLACE(I18, ""(\[([ROYGBPTQUXZC_]|1?[0-9])\])"", ""[img=45]res://textures/icons/$2.png[/img]""),""--"",""—""),""-&gt;"",""•""),""~@"", CONCATENATE(""[i"&amp;"]"",REGEXEXTRACT(B18,""^([\s\S]*),|$""),""[/i]"")),""~"", CONCATENATE(""[i]"",B18,""[/i]"")),""(\([\s\S]*?\))"",""[i][color=#34343A]$0[/color][/i]""), ""&lt;"", ""[""), ""&gt;"", ""]""), ""[/p][p]"", ""[font_size=15]\n\n[/font_size]""), ""[br/]"", ""\n"")"),"[center][u]Retribution[/u] [i][color=#34343A](When you draw [i]Cripple[/i] as a result of taking damage, you may deploy it without paying its cost.)[/color][/i][/center][p]Choose an asset; it permanently gains [u]sluggish[/u] [i][color=#34343A](The specif"&amp;"ied asset deals combat damage after assets without sluggish.)[/color][/i] and -5/-5.[/p]")</f>
        <v xml:space="preserve">[center][u]Retribution[/u] [i][color=#34343A](When you draw [i]Cripple[/i] as a result of taking damage, you may deploy it without paying its cost.)[/color][/i][/center][p]Choose an asset; it permanently gains [u]sluggish[/u] [i][color=#34343A](The specified asset deals combat damage after assets without sluggish.)[/color][/i] and -5/-5.[/p]</v>
      </c>
      <c r="W18" s="4" t="str">
        <f t="shared" si="1"/>
        <v>[i]Effect[/i]</v>
      </c>
      <c r="X18" s="4" t="str">
        <f t="shared" si="2"/>
        <v>RT_RU_001</v>
      </c>
    </row>
    <row r="19" ht="102" outlineLevel="1">
      <c r="A19" s="1" t="s">
        <v>121</v>
      </c>
      <c r="B19" s="1" t="s">
        <v>122</v>
      </c>
      <c r="C19" s="2" t="s">
        <v>123</v>
      </c>
      <c r="D19" s="6" t="str">
        <f>IFERROR(__xludf.DUMMYFUNCTION("IF(EQ(A19,B19),"""",SWITCH(IF(T19="""",0,COUNTA(SPLIT(T19,"" ""))),0,""Generic"",1,TRIM(T19),2,""Multicolor"",3,""Multicolor"",4,""Multicolor"",5,""Multicolor"",6,""Multicolor"",7,""Multicolor"",8,""Multicolor""))"),"Red")</f>
        <v>Red</v>
      </c>
      <c r="E19" s="1" t="s">
        <v>51</v>
      </c>
      <c r="F19" s="1" t="s">
        <v>26</v>
      </c>
      <c r="G19" s="1" t="s">
        <v>124</v>
      </c>
      <c r="H19" s="2" t="s">
        <v>119</v>
      </c>
      <c r="I19" s="11" t="s">
        <v>125</v>
      </c>
      <c r="J19" s="3"/>
      <c r="K19" s="1">
        <v>5</v>
      </c>
      <c r="L19" s="1">
        <v>1</v>
      </c>
      <c r="O19" s="3"/>
      <c r="Q19" s="1">
        <v>60</v>
      </c>
      <c r="R19" s="1">
        <v>45</v>
      </c>
      <c r="S19" s="4" t="str">
        <f t="shared" si="0"/>
        <v>True</v>
      </c>
      <c r="T19" s="4" t="str">
        <f>IFERROR(__xludf.DUMMYFUNCTION("CONCATENATE(if(REGEXMATCH(C19,""R""),"" Red"",""""),if(REGEXMATCH(C19,""O""),"" Orange"",""""),if(REGEXMATCH(C19,""Y""),"" Yellow"",""""),if(REGEXMATCH(C19,""G""),"" Green"",""""),if(REGEXMATCH(C19,""B""),"" Blue"",""""),if(REGEXMATCH(C19,""P""),"" Purple"&amp;""",""""))")," Red")</f>
        <v>Red</v>
      </c>
      <c r="U19" s="4" t="str">
        <f>IFERROR(__xludf.DUMMYFUNCTION("TRIM(CONCAT(""[right]"", REGEXREPLACE(C19, ""([ROYGBPXZC_]|1?[0-9])"", ""[img=119]res://textures/icons/$0.png[/img]\\n"")))"),"[right][img=119]res://textures/icons/1.png[/img]\n[img=119]res://textures/icons/R.png[/img]\n")</f>
        <v>[right][img=119]res://textures/icons/1.png[/img]\n[img=119]res://textures/icons/R.png[/img]\n</v>
      </c>
      <c r="V19" s="4" t="str">
        <f>IFERROR(__xludf.DUMMYFUNCTION("SUBSTITUTE(SUBSTITUTE(SUBSTITUTE(SUBSTITUTE(REGEXREPLACE(SUBSTITUTE(SUBSTITUTE(SUBSTITUTE(SUBSTITUTE(REGEXREPLACE(I19, ""(\[([ROYGBPTQUXZC_]|1?[0-9])\])"", ""[img=45]res://textures/icons/$2.png[/img]""),""--"",""—""),""-&gt;"",""•""),""~@"", CONCATENATE(""[i"&amp;"]"",REGEXEXTRACT(B19,""^([\s\S]*),|$""),""[/i]"")),""~"", CONCATENATE(""[i]"",B19,""[/i]"")),""(\([\s\S]*?\))"",""[i][color=#34343A]$0[/color][/i]""), ""&lt;"", ""[""), ""&gt;"", ""]""), ""[/p][p]"", ""[font_size=15]\n\n[/font_size]""), ""[br/]"", ""\n"")"),"[center][u]Vehicle[/u] [i][color=#34343A](When [i]Interceptor[/i] enters the battlefield, you may choose another asset to attach it to. The combined unit has all effects of both assets, and the highest attack power, health, and ranged status of the two.)["&amp;"/color][/i], [u]Spacecraft[/u] [i][color=#34343A](Space Shuttle can only intercept or be intercepted by assets with spacecraft.)[/color][/i][/center][p]When [i]Interceptor[/i] enters the battlefield, you may attach a [i]'Prototype Tractor Beam'[/i] you co"&amp;"ntrol to it.[/p]")</f>
        <v xml:space="preserve">[center][u]Vehicle[/u] [i][color=#34343A](When [i]Interceptor[/i] enters the battlefield, you may choose another asset to attach it to. The combined unit has all effects of both assets, and the highest attack power, health, and ranged status of the two.)[/color][/i], [u]Spacecraft[/u] [i][color=#34343A](Space Shuttle can only intercept or be intercepted by assets with spacecraft.)[/color][/i][/center][p]When [i]Interceptor[/i] enters the battlefield, you may attach a [i]'Prototype Tractor Beam'[/i] you control to it.[/p]</v>
      </c>
      <c r="W19" s="4" t="str">
        <f t="shared" si="1"/>
        <v>[i]Asset[/i]</v>
      </c>
      <c r="X19" s="4" t="str">
        <f t="shared" si="2"/>
        <v>RT_RU_002</v>
      </c>
    </row>
    <row r="20" ht="38.25" outlineLevel="1">
      <c r="A20" s="1" t="s">
        <v>126</v>
      </c>
      <c r="B20" s="4" t="s">
        <v>127</v>
      </c>
      <c r="C20" s="5" t="s">
        <v>78</v>
      </c>
      <c r="D20" s="6" t="str">
        <f>IFERROR(__xludf.DUMMYFUNCTION("IF(ISBLANK(A20),"""",SWITCH(IF(T20="""",0,COUNTA(SPLIT(T20,"" ""))),0,""Generic"",1,TRIM(T20),2,""Multicolor"",3,""Multicolor"",4,""Multicolor"",5,""Multicolor"",6,""Multicolor"",7,""Multicolor"",8,""Multicolor""))"),"Red")</f>
        <v>Red</v>
      </c>
      <c r="E20" s="4" t="s">
        <v>79</v>
      </c>
      <c r="F20" s="4" t="s">
        <v>26</v>
      </c>
      <c r="G20" s="4" t="s">
        <v>128</v>
      </c>
      <c r="H20" s="5" t="s">
        <v>129</v>
      </c>
      <c r="I20" s="7" t="s">
        <v>130</v>
      </c>
      <c r="J20" s="4"/>
      <c r="K20" s="8">
        <v>4</v>
      </c>
      <c r="L20" s="8">
        <v>4</v>
      </c>
      <c r="O20" s="3"/>
      <c r="Q20" s="1">
        <v>60</v>
      </c>
      <c r="R20" s="1">
        <v>35</v>
      </c>
      <c r="S20" s="4" t="str">
        <f t="shared" si="0"/>
        <v>True</v>
      </c>
      <c r="T20" s="4" t="str">
        <f>IFERROR(__xludf.DUMMYFUNCTION("CONCATENATE(if(REGEXMATCH(C20,""R""),"" Red"",""""),if(REGEXMATCH(C20,""O""),"" Orange"",""""),if(REGEXMATCH(C20,""Y""),"" Yellow"",""""),if(REGEXMATCH(C20,""G""),"" Green"",""""),if(REGEXMATCH(C20,""B""),"" Blue"",""""),if(REGEXMATCH(C20,""P""),"" Purple"&amp;""",""""))")," Red")</f>
        <v>Red</v>
      </c>
      <c r="U20" s="4" t="str">
        <f>IFERROR(__xludf.DUMMYFUNCTION("TRIM(CONCAT(""[right]"", REGEXREPLACE(C20, ""([ROYGBPXZC_]|1?[0-9])"", ""[img=119]res://textures/icons/$0.png[/img]\\n"")))"),"[right][img=119]res://textures/icons/2.png[/img]\n[img=119]res://textures/icons/R.png[/img]\n")</f>
        <v>[right][img=119]res://textures/icons/2.png[/img]\n[img=119]res://textures/icons/R.png[/img]\n</v>
      </c>
      <c r="V20" s="4" t="str">
        <f>IFERROR(__xludf.DUMMYFUNCTION("SUBSTITUTE(SUBSTITUTE(SUBSTITUTE(SUBSTITUTE(REGEXREPLACE(SUBSTITUTE(SUBSTITUTE(SUBSTITUTE(SUBSTITUTE(REGEXREPLACE(I20, ""(\[([ROYGBPTQUXZC_]|1?[0-9])\])"", ""[img=45]res://textures/icons/$2.png[/img]""),""--"",""—""),""-&gt;"",""•""),""~@"", CONCATENATE(""[i"&amp;"]"",REGEXEXTRACT(B20,""^([\s\S]*),|$""),""[/i]"")),""~"", CONCATENATE(""[i]"",B20,""[/i]"")),""(\([\s\S]*?\))"",""[i][color=#34343A]$0[/color][/i]""), ""&lt;"", ""[""), ""&gt;"", ""]""), ""[/p][p]"", ""[font_size=15]\n\n[/font_size]""), ""[br/]"", ""\n"")"),"[u]Once[/u] [i][color=#34343A](As you activate this effect, remove it from this card)[/color][/i]: put the bottom card of your opponent's deck into your hand.")</f>
        <v xml:space="preserve">[u]Once[/u] [i][color=#34343A](As you activate this effect, remove it from this card)[/color][/i]: put the bottom card of your opponent's deck into your hand.</v>
      </c>
      <c r="W20" s="4" t="str">
        <f t="shared" si="1"/>
        <v>[i]Asset[/i]</v>
      </c>
      <c r="X20" s="4" t="str">
        <f t="shared" si="2"/>
        <v>RT_RU_003</v>
      </c>
    </row>
    <row r="21" ht="38.25" outlineLevel="1">
      <c r="A21" s="1" t="s">
        <v>131</v>
      </c>
      <c r="B21" s="1" t="s">
        <v>132</v>
      </c>
      <c r="C21" s="2" t="s">
        <v>110</v>
      </c>
      <c r="D21" s="6" t="str">
        <f>IFERROR(__xludf.DUMMYFUNCTION("IF(ISBLANK(A21),"""",SWITCH(IF(T21="""",0,COUNTA(SPLIT(T21,"" ""))),0,""Generic"",1,TRIM(T21),2,""Multicolor"",3,""Multicolor"",4,""Multicolor"",5,""Multicolor"",6,""Multicolor"",7,""Multicolor"",8,""Multicolor""))"),"Red")</f>
        <v>Red</v>
      </c>
      <c r="E21" s="1" t="s">
        <v>79</v>
      </c>
      <c r="F21" s="1" t="s">
        <v>26</v>
      </c>
      <c r="G21" s="1" t="s">
        <v>133</v>
      </c>
      <c r="H21" s="2" t="s">
        <v>134</v>
      </c>
      <c r="I21" s="3" t="s">
        <v>135</v>
      </c>
      <c r="J21" s="3"/>
      <c r="K21" s="1">
        <v>4</v>
      </c>
      <c r="L21" s="1">
        <v>4</v>
      </c>
      <c r="O21" s="3"/>
      <c r="Q21" s="1">
        <v>45</v>
      </c>
      <c r="R21" s="1">
        <v>40</v>
      </c>
      <c r="S21" s="4" t="str">
        <f t="shared" si="0"/>
        <v>True</v>
      </c>
      <c r="T21" s="4" t="str">
        <f>IFERROR(__xludf.DUMMYFUNCTION("CONCATENATE(if(REGEXMATCH(C21,""R""),"" Red"",""""),if(REGEXMATCH(C21,""O""),"" Orange"",""""),if(REGEXMATCH(C21,""Y""),"" Yellow"",""""),if(REGEXMATCH(C21,""G""),"" Green"",""""),if(REGEXMATCH(C21,""B""),"" Blue"",""""),if(REGEXMATCH(C21,""P""),"" Purple"&amp;""",""""))")," Red")</f>
        <v>Red</v>
      </c>
      <c r="U21" s="4" t="str">
        <f>IFERROR(__xludf.DUMMYFUNCTION("TRIM(CONCAT(""[right]"", REGEXREPLACE(C21, ""([ROYGBPXZC_]|1?[0-9])"", ""[img=119]res://textures/icons/$0.png[/img]\\n"")))"),"[right][img=119]res://textures/icons/3.png[/img]\n[img=119]res://textures/icons/R.png[/img]\n[img=119]res://textures/icons/R.png[/img]\n")</f>
        <v>[right][img=119]res://textures/icons/3.png[/img]\n[img=119]res://textures/icons/R.png[/img]\n[img=119]res://textures/icons/R.png[/img]\n</v>
      </c>
      <c r="V21" s="4" t="str">
        <f>IFERROR(__xludf.DUMMYFUNCTION("SUBSTITUTE(SUBSTITUTE(SUBSTITUTE(SUBSTITUTE(REGEXREPLACE(SUBSTITUTE(SUBSTITUTE(SUBSTITUTE(SUBSTITUTE(REGEXREPLACE(I21, ""(\[([ROYGBPTQUXZC_]|1?[0-9])\])"", ""[img=45]res://textures/icons/$2.png[/img]""),""--"",""—""),""-&gt;"",""•""),""~@"", CONCATENATE(""[i"&amp;"]"",REGEXEXTRACT(B21,""^([\s\S]*),|$""),""[/i]"")),""~"", CONCATENATE(""[i]"",B21,""[/i]"")),""(\([\s\S]*?\))"",""[i][color=#34343A]$0[/color][/i]""), ""&lt;"", ""[""), ""&gt;"", ""]""), ""[/p][p]"", ""[font_size=15]\n\n[/font_size]""), ""[br/]"", ""\n"")"),"Whenever a combatant an opponent owns comes under your control, until end of turn, pirates you control become 6/6s.")</f>
        <v xml:space="preserve">Whenever a combatant an opponent owns comes under your control, until end of turn, pirates you control become 6/6s.</v>
      </c>
      <c r="W21" s="4" t="str">
        <f t="shared" si="1"/>
        <v>[i]Asset[/i]</v>
      </c>
      <c r="X21" s="4" t="str">
        <f t="shared" si="2"/>
        <v>RT_RU_004</v>
      </c>
    </row>
    <row r="22" ht="102" outlineLevel="1">
      <c r="A22" s="1" t="s">
        <v>136</v>
      </c>
      <c r="B22" s="1" t="s">
        <v>137</v>
      </c>
      <c r="C22" s="2" t="s">
        <v>78</v>
      </c>
      <c r="D22" s="6" t="str">
        <f>IFERROR(__xludf.DUMMYFUNCTION("IF(EQ(A22,B22),"""",SWITCH(IF(T22="""",0,COUNTA(SPLIT(T22,"" ""))),0,""Generic"",1,TRIM(T22),2,""Multicolor"",3,""Multicolor"",4,""Multicolor"",5,""Multicolor"",6,""Multicolor"",7,""Multicolor"",8,""Multicolor""))"),"Red")</f>
        <v>Red</v>
      </c>
      <c r="E22" s="1"/>
      <c r="F22" s="1" t="s">
        <v>26</v>
      </c>
      <c r="G22" s="1" t="s">
        <v>138</v>
      </c>
      <c r="H22" s="2" t="s">
        <v>129</v>
      </c>
      <c r="I22" s="3" t="s">
        <v>139</v>
      </c>
      <c r="J22" s="3" t="s">
        <v>140</v>
      </c>
      <c r="O22" s="3"/>
      <c r="Q22" s="1">
        <v>45</v>
      </c>
      <c r="R22" s="1">
        <v>50</v>
      </c>
      <c r="S22" s="4" t="str">
        <f t="shared" si="0"/>
        <v>False</v>
      </c>
      <c r="T22" s="4" t="str">
        <f>IFERROR(__xludf.DUMMYFUNCTION("CONCATENATE(if(REGEXMATCH(C22,""R""),"" Red"",""""),if(REGEXMATCH(C22,""O""),"" Orange"",""""),if(REGEXMATCH(C22,""Y""),"" Yellow"",""""),if(REGEXMATCH(C22,""G""),"" Green"",""""),if(REGEXMATCH(C22,""B""),"" Blue"",""""),if(REGEXMATCH(C22,""P""),"" Purple"&amp;""",""""))")," Red")</f>
        <v>Red</v>
      </c>
      <c r="U22" s="4" t="str">
        <f>IFERROR(__xludf.DUMMYFUNCTION("TRIM(CONCAT(""[right]"", REGEXREPLACE(C22, ""([ROYGBPXZC_]|1?[0-9])"", ""[img=119]res://textures/icons/$0.png[/img]\\n"")))"),"[right][img=119]res://textures/icons/2.png[/img]\n[img=119]res://textures/icons/R.png[/img]\n")</f>
        <v>[right][img=119]res://textures/icons/2.png[/img]\n[img=119]res://textures/icons/R.png[/img]\n</v>
      </c>
      <c r="V22" s="4" t="str">
        <f>IFERROR(__xludf.DUMMYFUNCTION("SUBSTITUTE(SUBSTITUTE(SUBSTITUTE(SUBSTITUTE(REGEXREPLACE(SUBSTITUTE(SUBSTITUTE(SUBSTITUTE(SUBSTITUTE(REGEXREPLACE(I22, ""(\[([ROYGBPTQUXZC_]|1?[0-9])\])"", ""[img=45]res://textures/icons/$2.png[/img]""),""--"",""—""),""-&gt;"",""•""),""~@"", CONCATENATE(""[i"&amp;"]"",REGEXEXTRACT(B22,""^([\s\S]*),|$""),""[/i]"")),""~"", CONCATENATE(""[i]"",B22,""[/i]"")),""(\([\s\S]*?\))"",""[i][color=#34343A]$0[/color][/i]""), ""&lt;"", ""[""), ""&gt;"", ""]""), ""[/p][p]"", ""[font_size=15]\n\n[/font_size]""), ""[br/]"", ""\n"")"),"[p]At the beginning of your upkeep, until [i]Two Weeks Since the Last Haul[/i] leaves the battlefield, combatants you control permanently get -1/-1.[/p]")</f>
        <v xml:space="preserve">[p]At the beginning of your upkeep, until [i]Two Weeks Since the Last Haul[/i] leaves the battlefield, combatants you control permanently get -1/-1.[/p]</v>
      </c>
      <c r="W22" s="4" t="str">
        <f t="shared" si="1"/>
        <v>[i]Asset[/i]</v>
      </c>
      <c r="X22" s="4" t="str">
        <f t="shared" si="2"/>
        <v>RT_RU_005</v>
      </c>
    </row>
    <row r="23" ht="25.5" outlineLevel="1">
      <c r="A23" s="1" t="s">
        <v>141</v>
      </c>
      <c r="B23" s="1" t="s">
        <v>142</v>
      </c>
      <c r="C23" s="2" t="s">
        <v>86</v>
      </c>
      <c r="D23" s="6" t="str">
        <f>IFERROR(__xludf.DUMMYFUNCTION("IF(EQ(A23,B23),"""",SWITCH(IF(T23="""",0,COUNTA(SPLIT(T23,"" ""))),0,""Generic"",1,TRIM(T23),2,""Multicolor"",3,""Multicolor"",4,""Multicolor"",5,""Multicolor"",6,""Multicolor"",7,""Multicolor"",8,""Multicolor""))"),"Red")</f>
        <v>Red</v>
      </c>
      <c r="E23" s="1" t="s">
        <v>79</v>
      </c>
      <c r="F23" s="1" t="s">
        <v>26</v>
      </c>
      <c r="G23" s="1" t="s">
        <v>143</v>
      </c>
      <c r="H23" s="2" t="s">
        <v>129</v>
      </c>
      <c r="I23" s="3" t="s">
        <v>144</v>
      </c>
      <c r="J23" s="3"/>
      <c r="K23" s="1">
        <v>4</v>
      </c>
      <c r="L23" s="1">
        <v>4</v>
      </c>
      <c r="O23" s="3"/>
      <c r="Q23" s="1">
        <v>50</v>
      </c>
      <c r="R23" s="1">
        <v>35</v>
      </c>
      <c r="S23" s="4" t="str">
        <f t="shared" si="0"/>
        <v>True</v>
      </c>
      <c r="T23" s="4" t="str">
        <f>IFERROR(__xludf.DUMMYFUNCTION("CONCATENATE(if(REGEXMATCH(C23,""R""),"" Red"",""""),if(REGEXMATCH(C23,""O""),"" Orange"",""""),if(REGEXMATCH(C23,""Y""),"" Yellow"",""""),if(REGEXMATCH(C23,""G""),"" Green"",""""),if(REGEXMATCH(C23,""B""),"" Blue"",""""),if(REGEXMATCH(C23,""P""),"" Purple"&amp;""",""""))")," Red")</f>
        <v>Red</v>
      </c>
      <c r="U23" s="4" t="str">
        <f>IFERROR(__xludf.DUMMYFUNCTION("TRIM(CONCAT(""[right]"", REGEXREPLACE(C23, ""([ROYGBPXZC_]|1?[0-9])"", ""[img=119]res://textures/icons/$0.png[/img]\\n"")))"),"[right][img=119]res://textures/icons/1.png[/img]\n[img=119]res://textures/icons/R.png[/img]\n[img=119]res://textures/icons/R.png[/img]\n")</f>
        <v>[right][img=119]res://textures/icons/1.png[/img]\n[img=119]res://textures/icons/R.png[/img]\n[img=119]res://textures/icons/R.png[/img]\n</v>
      </c>
      <c r="V23" s="4" t="str">
        <f>IFERROR(__xludf.DUMMYFUNCTION("SUBSTITUTE(SUBSTITUTE(SUBSTITUTE(SUBSTITUTE(REGEXREPLACE(SUBSTITUTE(SUBSTITUTE(SUBSTITUTE(SUBSTITUTE(REGEXREPLACE(I23, ""(\[([ROYGBPTQUXZC_]|1?[0-9])\])"", ""[img=45]res://textures/icons/$2.png[/img]""),""--"",""—""),""-&gt;"",""•""),""~@"", CONCATENATE(""[i"&amp;"]"",REGEXEXTRACT(B23,""^([\s\S]*),|$""),""[/i]"")),""~"", CONCATENATE(""[i]"",B23,""[/i]"")),""(\([\s\S]*?\))"",""[i][color=#34343A]$0[/color][/i]""), ""&lt;"", ""[""), ""&gt;"", ""]""), ""[/p][p]"", ""[font_size=15]\n\n[/font_size]""), ""[br/]"", ""\n"")"),"Give an opponent [i]Resourceful Hostage[/i]: Draw 2 cards [i][color=#34343A](this effect can only be activated during your deployment phases.)[/color][/i]")</f>
        <v xml:space="preserve">Give an opponent [i]Resourceful Hostage[/i]: Draw 2 cards [i][color=#34343A](this effect can only be activated during your deployment phases.)[/color][/i]</v>
      </c>
      <c r="W23" s="4" t="str">
        <f t="shared" si="1"/>
        <v>[i]Asset[/i]</v>
      </c>
      <c r="X23" s="4" t="str">
        <f t="shared" si="2"/>
        <v>RT_RU_006</v>
      </c>
    </row>
    <row r="24" ht="38.25" outlineLevel="1">
      <c r="A24" s="1" t="s">
        <v>145</v>
      </c>
      <c r="B24" s="1" t="s">
        <v>146</v>
      </c>
      <c r="C24" s="2" t="s">
        <v>78</v>
      </c>
      <c r="D24" s="6" t="str">
        <f>IFERROR(__xludf.DUMMYFUNCTION("IF(EQ(A24,B24),"""",SWITCH(IF(T24="""",0,COUNTA(SPLIT(T24,"" ""))),0,""Generic"",1,TRIM(T24),2,""Multicolor"",3,""Multicolor"",4,""Multicolor"",5,""Multicolor"",6,""Multicolor"",7,""Multicolor"",8,""Multicolor""))"),"Red")</f>
        <v>Red</v>
      </c>
      <c r="E24" s="1" t="s">
        <v>79</v>
      </c>
      <c r="F24" s="1" t="s">
        <v>26</v>
      </c>
      <c r="G24" s="1" t="s">
        <v>147</v>
      </c>
      <c r="H24" s="2" t="s">
        <v>129</v>
      </c>
      <c r="I24" s="3" t="s">
        <v>148</v>
      </c>
      <c r="J24" s="3"/>
      <c r="K24" s="1">
        <v>4</v>
      </c>
      <c r="L24" s="1">
        <v>4</v>
      </c>
      <c r="O24" s="3"/>
      <c r="Q24" s="1">
        <v>45</v>
      </c>
      <c r="R24" s="1">
        <v>35</v>
      </c>
      <c r="S24" s="4" t="str">
        <f t="shared" si="0"/>
        <v>True</v>
      </c>
      <c r="T24" s="4" t="str">
        <f>IFERROR(__xludf.DUMMYFUNCTION("CONCATENATE(if(REGEXMATCH(C24,""R""),"" Red"",""""),if(REGEXMATCH(C24,""O""),"" Orange"",""""),if(REGEXMATCH(C24,""Y""),"" Yellow"",""""),if(REGEXMATCH(C24,""G""),"" Green"",""""),if(REGEXMATCH(C24,""B""),"" Blue"",""""),if(REGEXMATCH(C24,""P""),"" Purple"&amp;""",""""))")," Red")</f>
        <v>Red</v>
      </c>
      <c r="U24" s="4" t="str">
        <f>IFERROR(__xludf.DUMMYFUNCTION("TRIM(CONCAT(""[right]"", REGEXREPLACE(C24, ""([ROYGBPXZC_]|1?[0-9])"", ""[img=119]res://textures/icons/$0.png[/img]\\n"")))"),"[right][img=119]res://textures/icons/2.png[/img]\n[img=119]res://textures/icons/R.png[/img]\n")</f>
        <v>[right][img=119]res://textures/icons/2.png[/img]\n[img=119]res://textures/icons/R.png[/img]\n</v>
      </c>
      <c r="V24" s="4" t="str">
        <f>IFERROR(__xludf.DUMMYFUNCTION("SUBSTITUTE(SUBSTITUTE(SUBSTITUTE(SUBSTITUTE(REGEXREPLACE(SUBSTITUTE(SUBSTITUTE(SUBSTITUTE(SUBSTITUTE(REGEXREPLACE(I24, ""(\[([ROYGBPTQUXZC_]|1?[0-9])\])"", ""[img=45]res://textures/icons/$2.png[/img]""),""--"",""—""),""-&gt;"",""•""),""~@"", CONCATENATE(""[i"&amp;"]"",REGEXEXTRACT(B24,""^([\s\S]*),|$""),""[/i]"")),""~"", CONCATENATE(""[i]"",B24,""[/i]"")),""(\([\s\S]*?\))"",""[i][color=#34343A]$0[/color][/i]""), ""&lt;"", ""[""), ""&gt;"", ""]""), ""[/p][p]"", ""[font_size=15]\n\n[/font_size]""), ""[br/]"", ""\n"")"),"Give an opponent [i]Exchange Volunteer[/i]: Choose a Pirate that opponent controls; gain control of it [i][color=#34343A](this effect can only be activated during your deployment phases.)[/color][/i]")</f>
        <v xml:space="preserve">Give an opponent [i]Exchange Volunteer[/i]: Choose a Pirate that opponent controls; gain control of it [i][color=#34343A](this effect can only be activated during your deployment phases.)[/color][/i]</v>
      </c>
      <c r="W24" s="4" t="str">
        <f t="shared" si="1"/>
        <v>[i]Asset[/i]</v>
      </c>
      <c r="X24" s="4" t="str">
        <f t="shared" si="2"/>
        <v>RT_RU_007</v>
      </c>
    </row>
    <row r="25" ht="25.5" outlineLevel="1">
      <c r="A25" s="1" t="s">
        <v>149</v>
      </c>
      <c r="B25" s="1" t="s">
        <v>150</v>
      </c>
      <c r="C25" s="2" t="s">
        <v>123</v>
      </c>
      <c r="D25" s="6" t="str">
        <f>IFERROR(__xludf.DUMMYFUNCTION("IF(EQ(A25,B25),"""",SWITCH(IF(T25="""",0,COUNTA(SPLIT(T25,"" ""))),0,""Generic"",1,TRIM(T25),2,""Multicolor"",3,""Multicolor"",4,""Multicolor"",5,""Multicolor"",6,""Multicolor"",7,""Multicolor"",8,""Multicolor""))"),"Red")</f>
        <v>Red</v>
      </c>
      <c r="E25" s="1" t="s">
        <v>79</v>
      </c>
      <c r="F25" s="1" t="s">
        <v>26</v>
      </c>
      <c r="G25" s="1" t="s">
        <v>151</v>
      </c>
      <c r="H25" s="2" t="s">
        <v>129</v>
      </c>
      <c r="I25" s="11" t="s">
        <v>152</v>
      </c>
      <c r="J25" s="3"/>
      <c r="K25" s="1">
        <v>4</v>
      </c>
      <c r="L25" s="1">
        <v>4</v>
      </c>
      <c r="O25" s="3"/>
      <c r="Q25" s="1">
        <v>50</v>
      </c>
      <c r="R25" s="1">
        <v>35</v>
      </c>
      <c r="S25" s="4" t="str">
        <f t="shared" si="0"/>
        <v>True</v>
      </c>
      <c r="T25" s="4" t="str">
        <f>IFERROR(__xludf.DUMMYFUNCTION("CONCATENATE(if(REGEXMATCH(C25,""R""),"" Red"",""""),if(REGEXMATCH(C25,""O""),"" Orange"",""""),if(REGEXMATCH(C25,""Y""),"" Yellow"",""""),if(REGEXMATCH(C25,""G""),"" Green"",""""),if(REGEXMATCH(C25,""B""),"" Blue"",""""),if(REGEXMATCH(C25,""P""),"" Purple"&amp;""",""""))")," Red")</f>
        <v>Red</v>
      </c>
      <c r="U25" s="4" t="str">
        <f>IFERROR(__xludf.DUMMYFUNCTION("TRIM(CONCAT(""[right]"", REGEXREPLACE(C25, ""([ROYGBPXZC_]|1?[0-9])"", ""[img=119]res://textures/icons/$0.png[/img]\\n"")))"),"[right][img=119]res://textures/icons/1.png[/img]\n[img=119]res://textures/icons/R.png[/img]\n")</f>
        <v>[right][img=119]res://textures/icons/1.png[/img]\n[img=119]res://textures/icons/R.png[/img]\n</v>
      </c>
      <c r="V25" s="4" t="str">
        <f>IFERROR(__xludf.DUMMYFUNCTION("SUBSTITUTE(SUBSTITUTE(SUBSTITUTE(SUBSTITUTE(REGEXREPLACE(SUBSTITUTE(SUBSTITUTE(SUBSTITUTE(SUBSTITUTE(REGEXREPLACE(I25, ""(\[([ROYGBPTQUXZC_]|1?[0-9])\])"", ""[img=45]res://textures/icons/$2.png[/img]""),""--"",""—""),""-&gt;"",""•""),""~@"", CONCATENATE(""[i"&amp;"]"",REGEXEXTRACT(B25,""^([\s\S]*),|$""),""[/i]"")),""~"", CONCATENATE(""[i]"",B25,""[/i]"")),""(\([\s\S]*?\))"",""[i][color=#34343A]$0[/color][/i]""), ""&lt;"", ""[""), ""&gt;"", ""]""), ""[/p][p]"", ""[font_size=15]\n\n[/font_size]""), ""[br/]"", ""\n"")"),"Give an opponent [i]Sacrificial Hostage[/i]: You may choose a card you control; return it to your hand.")</f>
        <v xml:space="preserve">Give an opponent [i]Sacrificial Hostage[/i]: You may choose a card you control; return it to your hand.</v>
      </c>
      <c r="W25" s="4" t="str">
        <f t="shared" si="1"/>
        <v>[i]Asset[/i]</v>
      </c>
      <c r="X25" s="4" t="str">
        <f t="shared" si="2"/>
        <v>RT_RU_008</v>
      </c>
    </row>
    <row r="26" ht="38.25" outlineLevel="1">
      <c r="A26" s="1" t="s">
        <v>153</v>
      </c>
      <c r="B26" s="1" t="s">
        <v>154</v>
      </c>
      <c r="C26" s="2" t="s">
        <v>78</v>
      </c>
      <c r="D26" s="6" t="str">
        <f>IFERROR(__xludf.DUMMYFUNCTION("IF(EQ(A26,B26),"""",SWITCH(IF(T26="""",0,COUNTA(SPLIT(T26,"" ""))),0,""Generic"",1,TRIM(T26),2,""Multicolor"",3,""Multicolor"",4,""Multicolor"",5,""Multicolor"",6,""Multicolor"",7,""Multicolor"",8,""Multicolor""))"),"Red")</f>
        <v>Red</v>
      </c>
      <c r="E26" s="1" t="s">
        <v>79</v>
      </c>
      <c r="F26" s="1" t="s">
        <v>26</v>
      </c>
      <c r="G26" s="1" t="s">
        <v>128</v>
      </c>
      <c r="H26" s="2" t="s">
        <v>44</v>
      </c>
      <c r="I26" s="3" t="s">
        <v>155</v>
      </c>
      <c r="J26" s="3"/>
      <c r="K26" s="1">
        <v>4</v>
      </c>
      <c r="L26" s="1">
        <v>4</v>
      </c>
      <c r="O26" s="3"/>
      <c r="Q26" s="1">
        <v>60</v>
      </c>
      <c r="R26" s="1">
        <v>36</v>
      </c>
      <c r="S26" s="4" t="str">
        <f t="shared" si="0"/>
        <v>True</v>
      </c>
      <c r="T26" s="4" t="str">
        <f>IFERROR(__xludf.DUMMYFUNCTION("CONCATENATE(if(REGEXMATCH(C26,""R""),"" Red"",""""),if(REGEXMATCH(C26,""O""),"" Orange"",""""),if(REGEXMATCH(C26,""Y""),"" Yellow"",""""),if(REGEXMATCH(C26,""G""),"" Green"",""""),if(REGEXMATCH(C26,""B""),"" Blue"",""""),if(REGEXMATCH(C26,""P""),"" Purple"&amp;""",""""))")," Red")</f>
        <v>Red</v>
      </c>
      <c r="U26" s="4" t="str">
        <f>IFERROR(__xludf.DUMMYFUNCTION("TRIM(CONCAT(""[right]"", REGEXREPLACE(C26, ""([ROYGBPXZC_]|1?[0-9])"", ""[img=119]res://textures/icons/$0.png[/img]\\n"")))"),"[right][img=119]res://textures/icons/2.png[/img]\n[img=119]res://textures/icons/R.png[/img]\n")</f>
        <v>[right][img=119]res://textures/icons/2.png[/img]\n[img=119]res://textures/icons/R.png[/img]\n</v>
      </c>
      <c r="V26" s="4" t="str">
        <f>IFERROR(__xludf.DUMMYFUNCTION("SUBSTITUTE(SUBSTITUTE(SUBSTITUTE(SUBSTITUTE(REGEXREPLACE(SUBSTITUTE(SUBSTITUTE(SUBSTITUTE(SUBSTITUTE(REGEXREPLACE(I26, ""(\[([ROYGBPTQUXZC_]|1?[0-9])\])"", ""[img=45]res://textures/icons/$2.png[/img]""),""--"",""—""),""-&gt;"",""•""),""~@"", CONCATENATE(""[i"&amp;"]"",REGEXEXTRACT(B26,""^([\s\S]*),|$""),""[/i]"")),""~"", CONCATENATE(""[i]"",B26,""[/i]"")),""(\([\s\S]*?\))"",""[i][color=#34343A]$0[/color][/i]""), ""&lt;"", ""[""), ""&gt;"", ""]""), ""[/p][p]"", ""[font_size=15]\n\n[/font_size]""), ""[br/]"", ""\n"")"),"[center][u]Armed — 'Pirate Suit'[/u] [i][color=#34343A]([i]Beacon Crewwoman[/i] enters the battlefield with a transient [i]'Pirate Suit'[/i] attached to it.)[/color][/i][/center]")</f>
        <v xml:space="preserve">[center][u]Armed — 'Pirate Suit'[/u] [i][color=#34343A]([i]Beacon Crewwoman[/i] enters the battlefield with a transient [i]'Pirate Suit'[/i] attached to it.)[/color][/i][/center]</v>
      </c>
      <c r="W26" s="4" t="str">
        <f t="shared" si="1"/>
        <v>[i]Asset[/i]</v>
      </c>
      <c r="X26" s="4" t="str">
        <f t="shared" si="2"/>
        <v>RT_RC_001</v>
      </c>
    </row>
    <row r="27" ht="25.5" outlineLevel="1">
      <c r="A27" s="1" t="s">
        <v>156</v>
      </c>
      <c r="B27" s="1" t="s">
        <v>157</v>
      </c>
      <c r="C27" s="1" t="s">
        <v>93</v>
      </c>
      <c r="D27" s="6" t="str">
        <f>IFERROR(__xludf.DUMMYFUNCTION("IF(EQ(A27,B27),"""",SWITCH(IF(T27="""",0,COUNTA(SPLIT(T27,"" ""))),0,""Generic"",1,TRIM(T27),2,""Multicolor"",3,""Multicolor"",4,""Multicolor"",5,""Multicolor"",6,""Multicolor"",7,""Multicolor"",8,""Multicolor""))"),"Red")</f>
        <v>Red</v>
      </c>
      <c r="E27" s="1" t="s">
        <v>51</v>
      </c>
      <c r="F27" s="1" t="s">
        <v>26</v>
      </c>
      <c r="G27" s="1" t="s">
        <v>151</v>
      </c>
      <c r="H27" s="12">
        <v>2</v>
      </c>
      <c r="I27" s="3" t="s">
        <v>158</v>
      </c>
      <c r="J27" s="3"/>
      <c r="K27" s="1">
        <v>3</v>
      </c>
      <c r="L27" s="1">
        <v>4</v>
      </c>
      <c r="O27" s="3"/>
      <c r="Q27" s="1">
        <v>45</v>
      </c>
      <c r="R27" s="1">
        <v>35</v>
      </c>
      <c r="S27" s="4" t="str">
        <f t="shared" si="0"/>
        <v>True</v>
      </c>
      <c r="T27" s="4" t="str">
        <f>IFERROR(__xludf.DUMMYFUNCTION("CONCATENATE(if(REGEXMATCH(C27,""R""),"" Red"",""""),if(REGEXMATCH(C27,""O""),"" Orange"",""""),if(REGEXMATCH(C27,""Y""),"" Yellow"",""""),if(REGEXMATCH(C27,""G""),"" Green"",""""),if(REGEXMATCH(C27,""B""),"" Blue"",""""),if(REGEXMATCH(C27,""P""),"" Purple"&amp;""",""""))")," Red")</f>
        <v>Red</v>
      </c>
      <c r="U27" s="4" t="str">
        <f>IFERROR(__xludf.DUMMYFUNCTION("TRIM(CONCAT(""[right]"", REGEXREPLACE(C27, ""([ROYGBPXZC_]|1?[0-9])"", ""[img=119]res://textures/icons/$0.png[/img]\\n"")))"),"[right][img=119]res://textures/icons/3.png[/img]\n[img=119]res://textures/icons/R.png[/img]\n")</f>
        <v>[right][img=119]res://textures/icons/3.png[/img]\n[img=119]res://textures/icons/R.png[/img]\n</v>
      </c>
      <c r="V27" s="4" t="str">
        <f>IFERROR(__xludf.DUMMYFUNCTION("SUBSTITUTE(SUBSTITUTE(SUBSTITUTE(SUBSTITUTE(REGEXREPLACE(SUBSTITUTE(SUBSTITUTE(SUBSTITUTE(SUBSTITUTE(REGEXREPLACE(I27, ""(\[([ROYGBPTQUXZC_]|1?[0-9])\])"", ""[img=45]res://textures/icons/$2.png[/img]""),""--"",""—""),""-&gt;"",""•""),""~@"", CONCATENATE(""[i"&amp;"]"",REGEXEXTRACT(B27,""^([\s\S]*),|$""),""[/i]"")),""~"", CONCATENATE(""[i]"",B27,""[/i]"")),""(\([\s\S]*?\))"",""[i][color=#34343A]$0[/color][/i]""), ""&lt;"", ""[""), ""&gt;"", ""]""), ""[/p][p]"", ""[font_size=15]\n\n[/font_size]""), ""[br/]"", ""\n"")"),"[img=45]res://textures/icons/T.png[/img], Give an opponent [i]Backstabbing Hostage[/i]: Choose a combatant that opponent controls; until end of turn, it gets -4/-4.")</f>
        <v xml:space="preserve">[img=45]res://textures/icons/T.png[/img], Give an opponent [i]Backstabbing Hostage[/i]: Choose a combatant that opponent controls; until end of turn, it gets -4/-4.</v>
      </c>
      <c r="W27" s="4" t="str">
        <f t="shared" si="1"/>
        <v>[i]Asset[/i]</v>
      </c>
      <c r="X27" s="4" t="str">
        <f t="shared" si="2"/>
        <v>RT_RC_002</v>
      </c>
    </row>
    <row r="28" ht="51" outlineLevel="1">
      <c r="A28" s="1" t="s">
        <v>159</v>
      </c>
      <c r="B28" s="1" t="s">
        <v>160</v>
      </c>
      <c r="C28" s="2" t="s">
        <v>114</v>
      </c>
      <c r="D28" s="6" t="str">
        <f>IFERROR(__xludf.DUMMYFUNCTION("IF(EQ(A28,B28),"""",SWITCH(IF(T28="""",0,COUNTA(SPLIT(T28,"" ""))),0,""Generic"",1,TRIM(T28),2,""Multicolor"",3,""Multicolor"",4,""Multicolor"",5,""Multicolor"",6,""Multicolor"",7,""Multicolor"",8,""Multicolor""))"),"Red")</f>
        <v>Red</v>
      </c>
      <c r="E28" s="1" t="s">
        <v>79</v>
      </c>
      <c r="F28" s="1" t="s">
        <v>26</v>
      </c>
      <c r="G28" s="1" t="s">
        <v>151</v>
      </c>
      <c r="H28" s="2" t="s">
        <v>134</v>
      </c>
      <c r="I28" s="3" t="s">
        <v>161</v>
      </c>
      <c r="J28" s="3"/>
      <c r="K28" s="1">
        <v>4</v>
      </c>
      <c r="L28" s="1">
        <v>4</v>
      </c>
      <c r="O28" s="3"/>
      <c r="Q28" s="1">
        <v>60</v>
      </c>
      <c r="R28" s="1">
        <v>35</v>
      </c>
      <c r="S28" s="4" t="str">
        <f t="shared" si="0"/>
        <v>True</v>
      </c>
      <c r="T28" s="4" t="str">
        <f>IFERROR(__xludf.DUMMYFUNCTION("CONCATENATE(if(REGEXMATCH(C28,""R""),"" Red"",""""),if(REGEXMATCH(C28,""O""),"" Orange"",""""),if(REGEXMATCH(C28,""Y""),"" Yellow"",""""),if(REGEXMATCH(C28,""G""),"" Green"",""""),if(REGEXMATCH(C28,""B""),"" Blue"",""""),if(REGEXMATCH(C28,""P""),"" Purple"&amp;""",""""))")," Red")</f>
        <v>Red</v>
      </c>
      <c r="U28" s="4" t="str">
        <f>IFERROR(__xludf.DUMMYFUNCTION("TRIM(CONCAT(""[right]"", REGEXREPLACE(C28, ""([ROYGBPXZC_]|1?[0-9])"", ""[img=119]res://textures/icons/$0.png[/img]\\n"")))"),"[right][img=119]res://textures/icons/2.png[/img]\n[img=119]res://textures/icons/R.png[/img]\n[img=119]res://textures/icons/R.png[/img]\n")</f>
        <v>[right][img=119]res://textures/icons/2.png[/img]\n[img=119]res://textures/icons/R.png[/img]\n[img=119]res://textures/icons/R.png[/img]\n</v>
      </c>
      <c r="V28" s="4" t="str">
        <f>IFERROR(__xludf.DUMMYFUNCTION("SUBSTITUTE(SUBSTITUTE(SUBSTITUTE(SUBSTITUTE(REGEXREPLACE(SUBSTITUTE(SUBSTITUTE(SUBSTITUTE(SUBSTITUTE(REGEXREPLACE(I28, ""(\[([ROYGBPTQUXZC_]|1?[0-9])\])"", ""[img=45]res://textures/icons/$2.png[/img]""),""--"",""—""),""-&gt;"",""•""),""~@"", CONCATENATE(""[i"&amp;"]"",REGEXEXTRACT(B28,""^([\s\S]*),|$""),""[/i]"")),""~"", CONCATENATE(""[i]"",B28,""[/i]"")),""(\([\s\S]*?\))"",""[i][color=#34343A]$0[/color][/i]""), ""&lt;"", ""[""), ""&gt;"", ""]""), ""[/p][p]"", ""[font_size=15]\n\n[/font_size]""), ""[br/]"", ""\n"")"),"Give an opponent [i]Lethal Hostage[/i]: Choose a combatant that opponent controls; it permanently gains [u]bleeding[/u] [i][color=#34343A](At the end of their owner's turn the specified asset permanently loses 1 health.)[/color][/i]")</f>
        <v xml:space="preserve">Give an opponent [i]Lethal Hostage[/i]: Choose a combatant that opponent controls; it permanently gains [u]bleeding[/u] [i][color=#34343A](At the end of their owner's turn the specified asset permanently loses 1 health.)[/color][/i]</v>
      </c>
      <c r="W28" s="4" t="str">
        <f t="shared" si="1"/>
        <v>[i]Asset[/i]</v>
      </c>
      <c r="X28" s="4" t="str">
        <f t="shared" si="2"/>
        <v>RT_RC_003</v>
      </c>
    </row>
    <row r="29" ht="38.25" outlineLevel="1">
      <c r="A29" s="1" t="s">
        <v>162</v>
      </c>
      <c r="B29" s="1" t="s">
        <v>163</v>
      </c>
      <c r="C29" s="2" t="s">
        <v>93</v>
      </c>
      <c r="D29" s="6" t="str">
        <f>IFERROR(__xludf.DUMMYFUNCTION("IF(EQ(A29,B29),"""",SWITCH(IF(T29="""",0,COUNTA(SPLIT(T29,"" ""))),0,""Generic"",1,TRIM(T29),2,""Multicolor"",3,""Multicolor"",4,""Multicolor"",5,""Multicolor"",6,""Multicolor"",7,""Multicolor"",8,""Multicolor""))"),"Red")</f>
        <v>Red</v>
      </c>
      <c r="E29" s="1" t="s">
        <v>51</v>
      </c>
      <c r="F29" s="1" t="s">
        <v>26</v>
      </c>
      <c r="G29" s="1" t="s">
        <v>143</v>
      </c>
      <c r="H29" s="2" t="s">
        <v>134</v>
      </c>
      <c r="I29" s="3" t="s">
        <v>164</v>
      </c>
      <c r="J29" s="3"/>
      <c r="K29" s="1">
        <v>3</v>
      </c>
      <c r="L29" s="1">
        <v>4</v>
      </c>
      <c r="O29" s="3"/>
      <c r="Q29" s="1">
        <v>60</v>
      </c>
      <c r="R29" s="1">
        <v>35</v>
      </c>
      <c r="S29" s="4" t="str">
        <f t="shared" si="0"/>
        <v>True</v>
      </c>
      <c r="T29" s="4" t="str">
        <f>IFERROR(__xludf.DUMMYFUNCTION("CONCATENATE(if(REGEXMATCH(C29,""R""),"" Red"",""""),if(REGEXMATCH(C29,""O""),"" Orange"",""""),if(REGEXMATCH(C29,""Y""),"" Yellow"",""""),if(REGEXMATCH(C29,""G""),"" Green"",""""),if(REGEXMATCH(C29,""B""),"" Blue"",""""),if(REGEXMATCH(C29,""P""),"" Purple"&amp;""",""""))")," Red")</f>
        <v>Red</v>
      </c>
      <c r="U29" s="4" t="str">
        <f>IFERROR(__xludf.DUMMYFUNCTION("TRIM(CONCAT(""[right]"", REGEXREPLACE(C29, ""([ROYGBPXZC_]|1?[0-9])"", ""[img=119]res://textures/icons/$0.png[/img]\\n"")))"),"[right][img=119]res://textures/icons/3.png[/img]\n[img=119]res://textures/icons/R.png[/img]\n")</f>
        <v>[right][img=119]res://textures/icons/3.png[/img]\n[img=119]res://textures/icons/R.png[/img]\n</v>
      </c>
      <c r="V29" s="4" t="str">
        <f>IFERROR(__xludf.DUMMYFUNCTION("SUBSTITUTE(SUBSTITUTE(SUBSTITUTE(SUBSTITUTE(REGEXREPLACE(SUBSTITUTE(SUBSTITUTE(SUBSTITUTE(SUBSTITUTE(REGEXREPLACE(I29, ""(\[([ROYGBPTQUXZC_]|1?[0-9])\])"", ""[img=45]res://textures/icons/$2.png[/img]""),""--"",""—""),""-&gt;"",""•""),""~@"", CONCATENATE(""[i"&amp;"]"",REGEXEXTRACT(B29,""^([\s\S]*),|$""),""[/i]"")),""~"", CONCATENATE(""[i]"",B29,""[/i]"")),""(\([\s\S]*?\))"",""[i][color=#34343A]$0[/color][/i]""), ""&lt;"", ""[""), ""&gt;"", ""]""), ""[/p][p]"", ""[font_size=15]\n\n[/font_size]""), ""[br/]"", ""\n"")"),"Give an opponent [i]Daring Hostage[/i]: That opponent chooses 2 cards in their hand; Those cards are put into your hand [i][color=#34343A](if they have less than 2 cards in hand, instead they give you their hand.)[/color][/i]")</f>
        <v xml:space="preserve">Give an opponent [i]Daring Hostage[/i]: That opponent chooses 2 cards in their hand; Those cards are put into your hand [i][color=#34343A](if they have less than 2 cards in hand, instead they give you their hand.)[/color][/i]</v>
      </c>
      <c r="W29" s="4" t="str">
        <f t="shared" si="1"/>
        <v>[i]Asset[/i]</v>
      </c>
      <c r="X29" s="4" t="str">
        <f t="shared" si="2"/>
        <v>RT_RC_004</v>
      </c>
    </row>
    <row r="30" ht="102" outlineLevel="1">
      <c r="A30" s="1" t="s">
        <v>165</v>
      </c>
      <c r="B30" s="1" t="s">
        <v>166</v>
      </c>
      <c r="C30" s="2" t="s">
        <v>123</v>
      </c>
      <c r="D30" s="6" t="str">
        <f>IFERROR(__xludf.DUMMYFUNCTION("IF(EQ(A30,B30),"""",SWITCH(IF(T30="""",0,COUNTA(SPLIT(T30,"" ""))),0,""Generic"",1,TRIM(T30),2,""Multicolor"",3,""Multicolor"",4,""Multicolor"",5,""Multicolor"",6,""Multicolor"",7,""Multicolor"",8,""Multicolor""))"),"Red")</f>
        <v>Red</v>
      </c>
      <c r="E30" s="1"/>
      <c r="F30" s="1" t="s">
        <v>26</v>
      </c>
      <c r="G30" s="1" t="s">
        <v>167</v>
      </c>
      <c r="H30" s="2" t="s">
        <v>129</v>
      </c>
      <c r="I30" s="3" t="s">
        <v>168</v>
      </c>
      <c r="J30" s="3" t="s">
        <v>169</v>
      </c>
      <c r="O30" s="3"/>
      <c r="Q30" s="1">
        <v>45</v>
      </c>
      <c r="R30" s="1">
        <v>50</v>
      </c>
      <c r="S30" s="4" t="str">
        <f t="shared" si="0"/>
        <v>False</v>
      </c>
      <c r="T30" s="4" t="str">
        <f>IFERROR(__xludf.DUMMYFUNCTION("CONCATENATE(if(REGEXMATCH(C30,""R""),"" Red"",""""),if(REGEXMATCH(C30,""O""),"" Orange"",""""),if(REGEXMATCH(C30,""Y""),"" Yellow"",""""),if(REGEXMATCH(C30,""G""),"" Green"",""""),if(REGEXMATCH(C30,""B""),"" Blue"",""""),if(REGEXMATCH(C30,""P""),"" Purple"&amp;""",""""))")," Red")</f>
        <v>Red</v>
      </c>
      <c r="U30" s="4" t="str">
        <f>IFERROR(__xludf.DUMMYFUNCTION("TRIM(CONCAT(""[right]"", REGEXREPLACE(C30, ""([ROYGBPXZC_]|1?[0-9])"", ""[img=119]res://textures/icons/$0.png[/img]\\n"")))"),"[right][img=119]res://textures/icons/1.png[/img]\n[img=119]res://textures/icons/R.png[/img]\n")</f>
        <v>[right][img=119]res://textures/icons/1.png[/img]\n[img=119]res://textures/icons/R.png[/img]\n</v>
      </c>
      <c r="V30" s="4" t="str">
        <f>IFERROR(__xludf.DUMMYFUNCTION("SUBSTITUTE(SUBSTITUTE(SUBSTITUTE(SUBSTITUTE(REGEXREPLACE(SUBSTITUTE(SUBSTITUTE(SUBSTITUTE(SUBSTITUTE(REGEXREPLACE(I30, ""(\[([ROYGBPTQUXZC_]|1?[0-9])\])"", ""[img=45]res://textures/icons/$2.png[/img]""),""--"",""—""),""-&gt;"",""•""),""~@"", CONCATENATE(""[i"&amp;"]"",REGEXEXTRACT(B30,""^([\s\S]*),|$""),""[/i]"")),""~"", CONCATENATE(""[i]"",B30,""[/i]"")),""(\([\s\S]*?\))"",""[i][color=#34343A]$0[/color][/i]""), ""&lt;"", ""[""), ""&gt;"", ""]""), ""[/p][p]"", ""[font_size=15]\n\n[/font_size]""), ""[br/]"", ""\n"")"),"[p]When you draw [i]Occupational Hazards[/i], put it into play.[font_size=15]\n\n[/font_size]When you gain control of [i]Occupational Hazards[/i], [u]forfeit[/u] [i][color=#34343A](Put the specified card into its owner's discard.)[/color][/i] a combatant "&amp;"you control.[/p]")</f>
        <v xml:space="preserve">[p]When you draw [i]Occupational Hazards[/i], put it into play.[font_size=15]\n\n[/font_size]When you gain control of [i]Occupational Hazards[/i], [u]forfeit[/u] [i][color=#34343A](Put the specified card into its owner's discard.)[/color][/i] a combatant you control.[/p]</v>
      </c>
      <c r="W30" s="4" t="str">
        <f t="shared" si="1"/>
        <v>[i]Asset[/i]</v>
      </c>
      <c r="X30" s="4" t="str">
        <f t="shared" si="2"/>
        <v>RT_RC_005</v>
      </c>
    </row>
    <row r="31" ht="25.5" outlineLevel="1">
      <c r="A31" s="1" t="s">
        <v>170</v>
      </c>
      <c r="B31" s="1" t="s">
        <v>171</v>
      </c>
      <c r="C31" s="2" t="s">
        <v>86</v>
      </c>
      <c r="D31" s="6" t="str">
        <f>IFERROR(__xludf.DUMMYFUNCTION("IF(EQ(A31,B31),"""",SWITCH(IF(T31="""",0,COUNTA(SPLIT(T31,"" ""))),0,""Generic"",1,TRIM(T31),2,""Multicolor"",3,""Multicolor"",4,""Multicolor"",5,""Multicolor"",6,""Multicolor"",7,""Multicolor"",8,""Multicolor""))"),"Red")</f>
        <v>Red</v>
      </c>
      <c r="E31" s="1" t="s">
        <v>51</v>
      </c>
      <c r="F31" s="1" t="s">
        <v>26</v>
      </c>
      <c r="G31" s="1" t="s">
        <v>128</v>
      </c>
      <c r="H31" s="2" t="s">
        <v>50</v>
      </c>
      <c r="I31" s="11" t="s">
        <v>172</v>
      </c>
      <c r="J31" s="3"/>
      <c r="K31" s="1">
        <v>4</v>
      </c>
      <c r="L31" s="1">
        <v>4</v>
      </c>
      <c r="O31" s="3"/>
      <c r="Q31" s="1">
        <v>60</v>
      </c>
      <c r="R31" s="1">
        <v>35</v>
      </c>
      <c r="S31" s="4" t="str">
        <f t="shared" si="0"/>
        <v>True</v>
      </c>
      <c r="T31" s="4" t="str">
        <f>IFERROR(__xludf.DUMMYFUNCTION("CONCATENATE(if(REGEXMATCH(C31,""R""),"" Red"",""""),if(REGEXMATCH(C31,""O""),"" Orange"",""""),if(REGEXMATCH(C31,""Y""),"" Yellow"",""""),if(REGEXMATCH(C31,""G""),"" Green"",""""),if(REGEXMATCH(C31,""B""),"" Blue"",""""),if(REGEXMATCH(C31,""P""),"" Purple"&amp;""",""""))")," Red")</f>
        <v>Red</v>
      </c>
      <c r="U31" s="4" t="str">
        <f>IFERROR(__xludf.DUMMYFUNCTION("TRIM(CONCAT(""[right]"", REGEXREPLACE(C31, ""([ROYGBPXZC_]|1?[0-9])"", ""[img=119]res://textures/icons/$0.png[/img]\\n"")))"),"[right][img=119]res://textures/icons/1.png[/img]\n[img=119]res://textures/icons/R.png[/img]\n[img=119]res://textures/icons/R.png[/img]\n")</f>
        <v>[right][img=119]res://textures/icons/1.png[/img]\n[img=119]res://textures/icons/R.png[/img]\n[img=119]res://textures/icons/R.png[/img]\n</v>
      </c>
      <c r="V31" s="4" t="str">
        <f>IFERROR(__xludf.DUMMYFUNCTION("SUBSTITUTE(SUBSTITUTE(SUBSTITUTE(SUBSTITUTE(REGEXREPLACE(SUBSTITUTE(SUBSTITUTE(SUBSTITUTE(SUBSTITUTE(REGEXREPLACE(I31, ""(\[([ROYGBPTQUXZC_]|1?[0-9])\])"", ""[img=45]res://textures/icons/$2.png[/img]""),""--"",""—""),""-&gt;"",""•""),""~@"", CONCATENATE(""[i"&amp;"]"",REGEXEXTRACT(B31,""^([\s\S]*),|$""),""[/i]"")),""~"", CONCATENATE(""[i]"",B31,""[/i]"")),""(\([\s\S]*?\))"",""[i][color=#34343A]$0[/color][/i]""), ""&lt;"", ""[""), ""&gt;"", ""]""), ""[/p][p]"", ""[font_size=15]\n\n[/font_size]""), ""[br/]"", ""\n"")"),"Whenever a pirate comes under an opponent's control, your commander loses 1 loyalty.")</f>
        <v xml:space="preserve">Whenever a pirate comes under an opponent's control, your commander loses 1 loyalty.</v>
      </c>
      <c r="W31" s="4" t="str">
        <f t="shared" si="1"/>
        <v>[i]Asset[/i]</v>
      </c>
      <c r="X31" s="4" t="str">
        <f t="shared" si="2"/>
        <v>RT_RC_006</v>
      </c>
    </row>
    <row r="32" ht="25.5" outlineLevel="1">
      <c r="A32" s="1" t="s">
        <v>173</v>
      </c>
      <c r="B32" s="1" t="s">
        <v>174</v>
      </c>
      <c r="C32" s="2" t="s">
        <v>86</v>
      </c>
      <c r="D32" s="6" t="str">
        <f>IFERROR(__xludf.DUMMYFUNCTION("IF(EQ(A32,B32),"""",SWITCH(IF(T32="""",0,COUNTA(SPLIT(T32,"" ""))),0,""Generic"",1,TRIM(T32),2,""Multicolor"",3,""Multicolor"",4,""Multicolor"",5,""Multicolor"",6,""Multicolor"",7,""Multicolor"",8,""Multicolor""))"),"Red")</f>
        <v>Red</v>
      </c>
      <c r="E32" s="1" t="s">
        <v>51</v>
      </c>
      <c r="F32" s="1" t="s">
        <v>26</v>
      </c>
      <c r="G32" s="1" t="s">
        <v>175</v>
      </c>
      <c r="H32" s="2" t="s">
        <v>50</v>
      </c>
      <c r="I32" s="11" t="s">
        <v>176</v>
      </c>
      <c r="J32" s="3"/>
      <c r="K32" s="1">
        <v>4</v>
      </c>
      <c r="L32" s="1">
        <v>4</v>
      </c>
      <c r="O32" s="3"/>
      <c r="Q32" s="1">
        <v>45</v>
      </c>
      <c r="R32" s="1">
        <v>35</v>
      </c>
      <c r="S32" s="4" t="str">
        <f t="shared" si="0"/>
        <v>True</v>
      </c>
      <c r="T32" s="4" t="str">
        <f>IFERROR(__xludf.DUMMYFUNCTION("CONCATENATE(if(REGEXMATCH(C32,""R""),"" Red"",""""),if(REGEXMATCH(C32,""O""),"" Orange"",""""),if(REGEXMATCH(C32,""Y""),"" Yellow"",""""),if(REGEXMATCH(C32,""G""),"" Green"",""""),if(REGEXMATCH(C32,""B""),"" Blue"",""""),if(REGEXMATCH(C32,""P""),"" Purple"&amp;""",""""))")," Red")</f>
        <v>Red</v>
      </c>
      <c r="U32" s="4" t="str">
        <f>IFERROR(__xludf.DUMMYFUNCTION("TRIM(CONCAT(""[right]"", REGEXREPLACE(C32, ""([ROYGBPXZC_]|1?[0-9])"", ""[img=119]res://textures/icons/$0.png[/img]\\n"")))"),"[right][img=119]res://textures/icons/1.png[/img]\n[img=119]res://textures/icons/R.png[/img]\n[img=119]res://textures/icons/R.png[/img]\n")</f>
        <v>[right][img=119]res://textures/icons/1.png[/img]\n[img=119]res://textures/icons/R.png[/img]\n[img=119]res://textures/icons/R.png[/img]\n</v>
      </c>
      <c r="V32" s="4" t="str">
        <f>IFERROR(__xludf.DUMMYFUNCTION("SUBSTITUTE(SUBSTITUTE(SUBSTITUTE(SUBSTITUTE(REGEXREPLACE(SUBSTITUTE(SUBSTITUTE(SUBSTITUTE(SUBSTITUTE(REGEXREPLACE(I32, ""(\[([ROYGBPTQUXZC_]|1?[0-9])\])"", ""[img=45]res://textures/icons/$2.png[/img]""),""--"",""—""),""-&gt;"",""•""),""~@"", CONCATENATE(""[i"&amp;"]"",REGEXEXTRACT(B32,""^([\s\S]*),|$""),""[/i]"")),""~"", CONCATENATE(""[i]"",B32,""[/i]"")),""(\([\s\S]*?\))"",""[i][color=#34343A]$0[/color][/i]""), ""&lt;"", ""[""), ""&gt;"", ""]""), ""[/p][p]"", ""[font_size=15]\n\n[/font_size]""), ""[br/]"", ""\n"")"),"[center]Choose a pirate you control: Give it to an opponent.[/center]")</f>
        <v xml:space="preserve">[center]Choose a pirate you control: Give it to an opponent.[/center]</v>
      </c>
      <c r="W32" s="4" t="str">
        <f t="shared" si="1"/>
        <v>[i]Asset[/i]</v>
      </c>
      <c r="X32" s="4" t="str">
        <f t="shared" si="2"/>
        <v>RT_RC_007</v>
      </c>
    </row>
    <row r="33" ht="25.5" outlineLevel="1">
      <c r="A33" s="1" t="s">
        <v>177</v>
      </c>
      <c r="B33" s="1" t="s">
        <v>178</v>
      </c>
      <c r="C33" s="2" t="s">
        <v>86</v>
      </c>
      <c r="D33" s="6" t="str">
        <f>IFERROR(__xludf.DUMMYFUNCTION("IF(EQ(A33,B33),"""",SWITCH(IF(T33="""",0,COUNTA(SPLIT(T33,"" ""))),0,""Generic"",1,TRIM(T33),2,""Multicolor"",3,""Multicolor"",4,""Multicolor"",5,""Multicolor"",6,""Multicolor"",7,""Multicolor"",8,""Multicolor""))"),"Red")</f>
        <v>Red</v>
      </c>
      <c r="E33" s="1" t="s">
        <v>51</v>
      </c>
      <c r="F33" s="1" t="s">
        <v>26</v>
      </c>
      <c r="G33" s="1" t="s">
        <v>128</v>
      </c>
      <c r="H33" s="2" t="s">
        <v>32</v>
      </c>
      <c r="I33" s="11" t="s">
        <v>179</v>
      </c>
      <c r="J33" s="3"/>
      <c r="K33" s="1">
        <v>6</v>
      </c>
      <c r="L33" s="1">
        <v>6</v>
      </c>
      <c r="O33" s="3"/>
      <c r="Q33" s="1">
        <v>60</v>
      </c>
      <c r="R33" s="1">
        <v>35</v>
      </c>
      <c r="S33" s="4" t="str">
        <f t="shared" si="0"/>
        <v>True</v>
      </c>
      <c r="T33" s="4" t="str">
        <f>IFERROR(__xludf.DUMMYFUNCTION("CONCATENATE(if(REGEXMATCH(C33,""R""),"" Red"",""""),if(REGEXMATCH(C33,""O""),"" Orange"",""""),if(REGEXMATCH(C33,""Y""),"" Yellow"",""""),if(REGEXMATCH(C33,""G""),"" Green"",""""),if(REGEXMATCH(C33,""B""),"" Blue"",""""),if(REGEXMATCH(C33,""P""),"" Purple"&amp;""",""""))")," Red")</f>
        <v>Red</v>
      </c>
      <c r="U33" s="4" t="str">
        <f>IFERROR(__xludf.DUMMYFUNCTION("TRIM(CONCAT(""[right]"", REGEXREPLACE(C33, ""([ROYGBPXZC_]|1?[0-9])"", ""[img=119]res://textures/icons/$0.png[/img]\\n"")))"),"[right][img=119]res://textures/icons/1.png[/img]\n[img=119]res://textures/icons/R.png[/img]\n[img=119]res://textures/icons/R.png[/img]\n")</f>
        <v>[right][img=119]res://textures/icons/1.png[/img]\n[img=119]res://textures/icons/R.png[/img]\n[img=119]res://textures/icons/R.png[/img]\n</v>
      </c>
      <c r="V33" s="4" t="str">
        <f>IFERROR(__xludf.DUMMYFUNCTION("SUBSTITUTE(SUBSTITUTE(SUBSTITUTE(SUBSTITUTE(REGEXREPLACE(SUBSTITUTE(SUBSTITUTE(SUBSTITUTE(SUBSTITUTE(REGEXREPLACE(I33, ""(\[([ROYGBPTQUXZC_]|1?[0-9])\])"", ""[img=45]res://textures/icons/$2.png[/img]""),""--"",""—""),""-&gt;"",""•""),""~@"", CONCATENATE(""[i"&amp;"]"",REGEXEXTRACT(B33,""^([\s\S]*),|$""),""[/i]"")),""~"", CONCATENATE(""[i]"",B33,""[/i]"")),""(\([\s\S]*?\))"",""[i][color=#34343A]$0[/color][/i]""), ""&lt;"", ""[""), ""&gt;"", ""]""), ""[/p][p]"", ""[font_size=15]\n\n[/font_size]""), ""[br/]"", ""\n"")"),"[center][u]Brainwash[/u] [i][color=#34343A](Damage dealt by [i]Lina's Recruiter[/i] is gained as loyalty.)[/color][/i][/center]")</f>
        <v xml:space="preserve">[center][u]Brainwash[/u] [i][color=#34343A](Damage dealt by [i]Lina's Recruiter[/i] is gained as loyalty.)[/color][/i][/center]</v>
      </c>
      <c r="W33" s="4" t="str">
        <f t="shared" si="1"/>
        <v>[i]Asset[/i]</v>
      </c>
      <c r="X33" s="4" t="str">
        <f t="shared" si="2"/>
        <v>RT_RC_008</v>
      </c>
    </row>
    <row r="34" ht="38.25" outlineLevel="1">
      <c r="A34" s="1" t="s">
        <v>180</v>
      </c>
      <c r="B34" s="1" t="s">
        <v>181</v>
      </c>
      <c r="C34" s="2" t="s">
        <v>182</v>
      </c>
      <c r="D34" s="6" t="str">
        <f>IFERROR(__xludf.DUMMYFUNCTION("IF(EQ(A34,B34),"""",SWITCH(IF(T34="""",0,COUNTA(SPLIT(T34,"" ""))),0,""Generic"",1,TRIM(T34),2,""Multicolor"",3,""Multicolor"",4,""Multicolor"",5,""Multicolor"",6,""Multicolor"",7,""Multicolor"",8,""Multicolor""))"),"Red")</f>
        <v>Red</v>
      </c>
      <c r="E34" s="1"/>
      <c r="F34" s="1" t="s">
        <v>33</v>
      </c>
      <c r="G34" s="1" t="s">
        <v>118</v>
      </c>
      <c r="H34" s="2" t="s">
        <v>50</v>
      </c>
      <c r="I34" s="3" t="s">
        <v>183</v>
      </c>
      <c r="J34" s="3"/>
      <c r="O34" s="3"/>
      <c r="Q34" s="1">
        <v>60</v>
      </c>
      <c r="R34" s="1">
        <v>50</v>
      </c>
      <c r="S34" s="4" t="str">
        <f t="shared" si="0"/>
        <v>False</v>
      </c>
      <c r="T34" s="4" t="str">
        <f>IFERROR(__xludf.DUMMYFUNCTION("CONCATENATE(if(REGEXMATCH(C34,""R""),"" Red"",""""),if(REGEXMATCH(C34,""O""),"" Orange"",""""),if(REGEXMATCH(C34,""Y""),"" Yellow"",""""),if(REGEXMATCH(C34,""G""),"" Green"",""""),if(REGEXMATCH(C34,""B""),"" Blue"",""""),if(REGEXMATCH(C34,""P""),"" Purple"&amp;""",""""))")," Red")</f>
        <v>Red</v>
      </c>
      <c r="U34" s="4" t="str">
        <f>IFERROR(__xludf.DUMMYFUNCTION("TRIM(CONCAT(""[right]"", REGEXREPLACE(C34, ""([ROYGBPXZC_]|1?[0-9])"", ""[img=119]res://textures/icons/$0.png[/img]\\n"")))"),"[right][img=119]res://textures/icons/R.png[/img]\n")</f>
        <v>[right][img=119]res://textures/icons/R.png[/img]\n</v>
      </c>
      <c r="V34" s="4" t="str">
        <f>IFERROR(__xludf.DUMMYFUNCTION("SUBSTITUTE(SUBSTITUTE(SUBSTITUTE(SUBSTITUTE(REGEXREPLACE(SUBSTITUTE(SUBSTITUTE(SUBSTITUTE(SUBSTITUTE(REGEXREPLACE(I34, ""(\[([ROYGBPTQUXZC_]|1?[0-9])\])"", ""[img=45]res://textures/icons/$2.png[/img]""),""--"",""—""),""-&gt;"",""•""),""~@"", CONCATENATE(""[i"&amp;"]"",REGEXEXTRACT(B34,""^([\s\S]*),|$""),""[/i]"")),""~"", CONCATENATE(""[i]"",B34,""[/i]"")),""(\([\s\S]*?\))"",""[i][color=#34343A]$0[/color][/i]""), ""&lt;"", ""[""), ""&gt;"", ""]""), ""[/p][p]"", ""[font_size=15]\n\n[/font_size]""), ""[br/]"", ""\n"")"),"[center][u]Response[/u] [i][color=#34343A](You may deploy [i]Hinder[/i] in response to other cards and effects.)[/color][/i][/center][p]Choose a player; they discard a card.[/p]")</f>
        <v xml:space="preserve">[center][u]Response[/u] [i][color=#34343A](You may deploy [i]Hinder[/i] in response to other cards and effects.)[/color][/i][/center][p]Choose a player; they discard a card.[/p]</v>
      </c>
      <c r="W34" s="4" t="str">
        <f t="shared" si="1"/>
        <v>[i]Effect[/i]</v>
      </c>
      <c r="X34" s="4" t="str">
        <f t="shared" si="2"/>
        <v>RT_RC_009</v>
      </c>
    </row>
    <row r="35" ht="25.5" outlineLevel="1">
      <c r="A35" s="1" t="s">
        <v>184</v>
      </c>
      <c r="B35" s="1" t="s">
        <v>185</v>
      </c>
      <c r="C35" s="2" t="s">
        <v>123</v>
      </c>
      <c r="D35" s="6" t="str">
        <f>IFERROR(__xludf.DUMMYFUNCTION("IF(EQ(A35,B35),"""",SWITCH(IF(T35="""",0,COUNTA(SPLIT(T35,"" ""))),0,""Generic"",1,TRIM(T35),2,""Multicolor"",3,""Multicolor"",4,""Multicolor"",5,""Multicolor"",6,""Multicolor"",7,""Multicolor"",8,""Multicolor""))"),"Red")</f>
        <v>Red</v>
      </c>
      <c r="E35" s="1" t="s">
        <v>79</v>
      </c>
      <c r="F35" s="1" t="s">
        <v>26</v>
      </c>
      <c r="G35" s="1" t="s">
        <v>133</v>
      </c>
      <c r="H35" s="2" t="s">
        <v>134</v>
      </c>
      <c r="I35" s="3" t="s">
        <v>186</v>
      </c>
      <c r="J35" s="3"/>
      <c r="K35" s="1">
        <v>4</v>
      </c>
      <c r="L35" s="1">
        <v>4</v>
      </c>
      <c r="O35" s="3"/>
      <c r="Q35" s="1">
        <v>60</v>
      </c>
      <c r="R35" s="1">
        <v>35</v>
      </c>
      <c r="S35" s="4" t="str">
        <f t="shared" si="0"/>
        <v>True</v>
      </c>
      <c r="T35" s="4" t="str">
        <f>IFERROR(__xludf.DUMMYFUNCTION("CONCATENATE(if(REGEXMATCH(C35,""R""),"" Red"",""""),if(REGEXMATCH(C35,""O""),"" Orange"",""""),if(REGEXMATCH(C35,""Y""),"" Yellow"",""""),if(REGEXMATCH(C35,""G""),"" Green"",""""),if(REGEXMATCH(C35,""B""),"" Blue"",""""),if(REGEXMATCH(C35,""P""),"" Purple"&amp;""",""""))")," Red")</f>
        <v>Red</v>
      </c>
      <c r="U35" s="4" t="str">
        <f>IFERROR(__xludf.DUMMYFUNCTION("TRIM(CONCAT(""[right]"", REGEXREPLACE(C35, ""([ROYGBPXZC_]|1?[0-9])"", ""[img=119]res://textures/icons/$0.png[/img]\\n"")))"),"[right][img=119]res://textures/icons/1.png[/img]\n[img=119]res://textures/icons/R.png[/img]\n")</f>
        <v>[right][img=119]res://textures/icons/1.png[/img]\n[img=119]res://textures/icons/R.png[/img]\n</v>
      </c>
      <c r="V35" s="4" t="str">
        <f>IFERROR(__xludf.DUMMYFUNCTION("SUBSTITUTE(SUBSTITUTE(SUBSTITUTE(SUBSTITUTE(REGEXREPLACE(SUBSTITUTE(SUBSTITUTE(SUBSTITUTE(SUBSTITUTE(REGEXREPLACE(I35, ""(\[([ROYGBPTQUXZC_]|1?[0-9])\])"", ""[img=45]res://textures/icons/$2.png[/img]""),""--"",""—""),""-&gt;"",""•""),""~@"", CONCATENATE(""[i"&amp;"]"",REGEXEXTRACT(B35,""^([\s\S]*),|$""),""[/i]"")),""~"", CONCATENATE(""[i]"",B35,""[/i]"")),""(\([\s\S]*?\))"",""[i][color=#34343A]$0[/color][/i]""), ""&lt;"", ""[""), ""&gt;"", ""]""), ""[/p][p]"", ""[font_size=15]\n\n[/font_size]""), ""[br/]"", ""\n"")"),"[center]When [i]Beacon Avenger[/i] dies, each player discards a card.[/center]")</f>
        <v xml:space="preserve">[center]When [i]Beacon Avenger[/i] dies, each player discards a card.[/center]</v>
      </c>
      <c r="W35" s="4" t="str">
        <f t="shared" si="1"/>
        <v>[i]Asset[/i]</v>
      </c>
      <c r="X35" s="4" t="str">
        <f t="shared" si="2"/>
        <v>RT_RC_010</v>
      </c>
    </row>
    <row r="36" outlineLevel="1">
      <c r="A36" s="1" t="s">
        <v>187</v>
      </c>
      <c r="B36" s="1" t="str">
        <f t="shared" ref="B36:B91" si="3">A36</f>
        <v>RC_011</v>
      </c>
      <c r="C36" s="2"/>
      <c r="D36" s="6" t="str">
        <f>IFERROR(__xludf.DUMMYFUNCTION("IF(EQ(A36,B36),"""",SWITCH(IF(T36="""",0,COUNTA(SPLIT(T36,"" ""))),0,""Generic"",1,TRIM(T36),2,""Multicolor"",3,""Multicolor"",4,""Multicolor"",5,""Multicolor"",6,""Multicolor"",7,""Multicolor"",8,""Multicolor""))"),"")</f>
        <v/>
      </c>
      <c r="E36" s="1"/>
      <c r="F36" s="1"/>
      <c r="H36" s="2"/>
      <c r="I36" s="3"/>
      <c r="J36" s="3"/>
      <c r="O36" s="3"/>
      <c r="Q36" s="1">
        <v>60</v>
      </c>
      <c r="R36" s="1">
        <v>50</v>
      </c>
      <c r="S36" s="4" t="str">
        <f t="shared" si="0"/>
        <v>False</v>
      </c>
      <c r="T36" s="4" t="str">
        <f>IFERROR(__xludf.DUMMYFUNCTION("CONCATENATE(if(REGEXMATCH(C36,""R""),"" Red"",""""),if(REGEXMATCH(C36,""O""),"" Orange"",""""),if(REGEXMATCH(C36,""Y""),"" Yellow"",""""),if(REGEXMATCH(C36,""G""),"" Green"",""""),if(REGEXMATCH(C36,""B""),"" Blue"",""""),if(REGEXMATCH(C36,""P""),"" Purple"&amp;""",""""))"),"")</f>
        <v/>
      </c>
      <c r="U36" s="4" t="str">
        <f>IFERROR(__xludf.DUMMYFUNCTION("TRIM(CONCAT(""[right]"", REGEXREPLACE(C36, ""([ROYGBPXZC_]|1?[0-9])"", ""[img=119]res://textures/icons/$0.png[/img]\\n"")))"),"[right]")</f>
        <v>[right]</v>
      </c>
      <c r="V36" s="4" t="str">
        <f>IFERROR(__xludf.DUMMYFUNCTION("SUBSTITUTE(SUBSTITUTE(SUBSTITUTE(SUBSTITUTE(REGEXREPLACE(SUBSTITUTE(SUBSTITUTE(SUBSTITUTE(SUBSTITUTE(REGEXREPLACE(I36, ""(\[([ROYGBPTQUXZC_]|1?[0-9])\])"", ""[img=45]res://textures/icons/$2.png[/img]""),""--"",""—""),""-&gt;"",""•""),""~@"", CONCATENATE(""[i"&amp;"]"",REGEXEXTRACT(B36,""^([\s\S]*),|$""),""[/i]"")),""~"", CONCATENATE(""[i]"",B36,""[/i]"")),""(\([\s\S]*?\))"",""[i][color=#34343A]$0[/color][/i]""), ""&lt;"", ""[""), ""&gt;"", ""]""), ""[/p][p]"", ""[font_size=15]\n\n[/font_size]""), ""[br/]"", ""\n"")"),"")</f>
        <v/>
      </c>
      <c r="W36" s="4" t="str">
        <f t="shared" si="1"/>
        <v>[i][/i]</v>
      </c>
      <c r="X36" s="4" t="str">
        <f t="shared" si="2"/>
        <v>0</v>
      </c>
    </row>
    <row r="37" outlineLevel="1">
      <c r="A37" s="1" t="s">
        <v>188</v>
      </c>
      <c r="B37" s="1" t="str">
        <f t="shared" si="3"/>
        <v>RC_012</v>
      </c>
      <c r="C37" s="2"/>
      <c r="D37" s="6" t="str">
        <f>IFERROR(__xludf.DUMMYFUNCTION("IF(EQ(A37,B37),"""",SWITCH(IF(T37="""",0,COUNTA(SPLIT(T37,"" ""))),0,""Generic"",1,TRIM(T37),2,""Multicolor"",3,""Multicolor"",4,""Multicolor"",5,""Multicolor"",6,""Multicolor"",7,""Multicolor"",8,""Multicolor""))"),"")</f>
        <v/>
      </c>
      <c r="E37" s="1"/>
      <c r="F37" s="1"/>
      <c r="H37" s="2"/>
      <c r="I37" s="3"/>
      <c r="J37" s="3"/>
      <c r="O37" s="3"/>
      <c r="Q37" s="1">
        <v>60</v>
      </c>
      <c r="R37" s="1">
        <v>50</v>
      </c>
      <c r="S37" s="4" t="str">
        <f t="shared" si="0"/>
        <v>False</v>
      </c>
      <c r="T37" s="4" t="str">
        <f>IFERROR(__xludf.DUMMYFUNCTION("CONCATENATE(if(REGEXMATCH(C37,""R""),"" Red"",""""),if(REGEXMATCH(C37,""O""),"" Orange"",""""),if(REGEXMATCH(C37,""Y""),"" Yellow"",""""),if(REGEXMATCH(C37,""G""),"" Green"",""""),if(REGEXMATCH(C37,""B""),"" Blue"",""""),if(REGEXMATCH(C37,""P""),"" Purple"&amp;""",""""))"),"")</f>
        <v/>
      </c>
      <c r="U37" s="4" t="str">
        <f>IFERROR(__xludf.DUMMYFUNCTION("TRIM(CONCAT(""[right]"", REGEXREPLACE(C37, ""([ROYGBPXZC_]|1?[0-9])"", ""[img=119]res://textures/icons/$0.png[/img]\\n"")))"),"[right]")</f>
        <v>[right]</v>
      </c>
      <c r="V37" s="4" t="str">
        <f>IFERROR(__xludf.DUMMYFUNCTION("SUBSTITUTE(SUBSTITUTE(SUBSTITUTE(SUBSTITUTE(REGEXREPLACE(SUBSTITUTE(SUBSTITUTE(SUBSTITUTE(SUBSTITUTE(REGEXREPLACE(I37, ""(\[([ROYGBPTQUXZC_]|1?[0-9])\])"", ""[img=45]res://textures/icons/$2.png[/img]""),""--"",""—""),""-&gt;"",""•""),""~@"", CONCATENATE(""[i"&amp;"]"",REGEXEXTRACT(B37,""^([\s\S]*),|$""),""[/i]"")),""~"", CONCATENATE(""[i]"",B37,""[/i]"")),""(\([\s\S]*?\))"",""[i][color=#34343A]$0[/color][/i]""), ""&lt;"", ""[""), ""&gt;"", ""]""), ""[/p][p]"", ""[font_size=15]\n\n[/font_size]""), ""[br/]"", ""\n"")"),"")</f>
        <v/>
      </c>
      <c r="W37" s="4" t="str">
        <f t="shared" si="1"/>
        <v>[i][/i]</v>
      </c>
      <c r="X37" s="4" t="str">
        <f t="shared" si="2"/>
        <v>0</v>
      </c>
    </row>
    <row r="38" ht="127.5">
      <c r="A38" s="1" t="s">
        <v>189</v>
      </c>
      <c r="B38" s="1" t="s">
        <v>190</v>
      </c>
      <c r="C38" s="2" t="s">
        <v>114</v>
      </c>
      <c r="D38" s="6" t="str">
        <f>IFERROR(__xludf.DUMMYFUNCTION("IF(EQ(A38,B38),"""",SWITCH(IF(T38="""",0,COUNTA(SPLIT(T38,"" ""))),0,""Generic"",1,TRIM(T38),2,""Multicolor"",3,""Multicolor"",4,""Multicolor"",5,""Multicolor"",6,""Multicolor"",7,""Multicolor"",8,""Multicolor""))"),"Red")</f>
        <v>Red</v>
      </c>
      <c r="E38" s="4" t="s">
        <v>79</v>
      </c>
      <c r="F38" s="4" t="s">
        <v>73</v>
      </c>
      <c r="G38" s="4" t="s">
        <v>191</v>
      </c>
      <c r="H38" s="5" t="s">
        <v>81</v>
      </c>
      <c r="I38" s="7" t="s">
        <v>192</v>
      </c>
      <c r="J38" s="7" t="s">
        <v>193</v>
      </c>
      <c r="K38" s="1">
        <v>7</v>
      </c>
      <c r="L38" s="1">
        <v>7</v>
      </c>
      <c r="O38" s="3"/>
      <c r="Q38" s="1">
        <v>45</v>
      </c>
      <c r="R38" s="1">
        <v>35</v>
      </c>
      <c r="S38" s="4" t="str">
        <f t="shared" si="0"/>
        <v>True</v>
      </c>
      <c r="T38" s="4" t="str">
        <f>IFERROR(__xludf.DUMMYFUNCTION("CONCATENATE(if(REGEXMATCH(C38,""R""),"" Red"",""""),if(REGEXMATCH(C38,""O""),"" Orange"",""""),if(REGEXMATCH(C38,""Y""),"" Yellow"",""""),if(REGEXMATCH(C38,""G""),"" Green"",""""),if(REGEXMATCH(C38,""B""),"" Blue"",""""),if(REGEXMATCH(C38,""P""),"" Purple"&amp;""",""""))")," Red")</f>
        <v>Red</v>
      </c>
      <c r="U38" s="4" t="str">
        <f>IFERROR(__xludf.DUMMYFUNCTION("TRIM(CONCAT(""[right]"", REGEXREPLACE(C38, ""([ROYGBPXZC_]|1?[0-9])"", ""[img=119]res://textures/icons/$0.png[/img]\\n"")))"),"[right][img=119]res://textures/icons/2.png[/img]\n[img=119]res://textures/icons/R.png[/img]\n[img=119]res://textures/icons/R.png[/img]\n")</f>
        <v>[right][img=119]res://textures/icons/2.png[/img]\n[img=119]res://textures/icons/R.png[/img]\n[img=119]res://textures/icons/R.png[/img]\n</v>
      </c>
      <c r="V38" s="4" t="str">
        <f>IFERROR(__xludf.DUMMYFUNCTION("SUBSTITUTE(SUBSTITUTE(SUBSTITUTE(SUBSTITUTE(REGEXREPLACE(SUBSTITUTE(SUBSTITUTE(SUBSTITUTE(SUBSTITUTE(REGEXREPLACE(I38, ""(\[([ROYGBPTQUXZC_]|1?[0-9])\])"", ""[img=45]res://textures/icons/$2.png[/img]""),""--"",""—""),""-&gt;"",""•""),""~@"", CONCATENATE(""[i"&amp;"]"",REGEXEXTRACT(B38,""^([\s\S]*),|$""),""[/i]"")),""~"", CONCATENATE(""[i]"",B38,""[/i]"")),""(\([\s\S]*?\))"",""[i][color=#34343A]$0[/color][/i]""), ""&lt;"", ""[""), ""&gt;"", ""]""), ""[/p][p]"", ""[font_size=15]\n\n[/font_size]""), ""[br/]"", ""\n"")"),"[center][i][color=#34343A](Becomes [i]'Frantic Research'[/i] if you already control Bing.)[/color][/i][/center][p][b][i]As Commander[/i] —[/b] At the beginning of your turn, if you have no cards in hand, draw an additional card, then [i]Bing Du Zhe[/i] lo"&amp;"ses 1 loyalty.[font_size=15]\n\n[/font_size][b][i]As Asset[/i] —[/b] [u]Forfeit X[/u] [i][color=#34343A](X is the generalized cost of the card to be returned.)[/color][/i] non-[u]Transient[/u] assets you control which share a type with an asset of your ch"&amp;"oice in your discard: Return that asset from your discard to the battlefield, it becomes an Augmented Mutant.[/p]")</f>
        <v xml:space="preserve">[center][i][color=#34343A](Becomes [i]'Frantic Research'[/i] if you already control Bing.)[/color][/i][/center][p][b][i]As Commander[/i] —[/b] At the beginning of your turn, if you have no cards in hand, draw an additional card, then [i]Bing Du Zhe[/i] loses 1 loyalty.[font_size=15]\n\n[/font_size][b][i]As Asset[/i] —[/b] [u]Forfeit X[/u] [i][color=#34343A](X is the generalized cost of the card to be returned.)[/color][/i] non-[u]Transient[/u] assets you control which share a type with an asset of your choice in your discard: Return that asset from your discard to the battlefield, it becomes an Augmented Mutant.[/p]</v>
      </c>
      <c r="W38" s="4" t="str">
        <f t="shared" si="1"/>
        <v>[i]Commander[/i]</v>
      </c>
      <c r="X38" s="4" t="str">
        <f t="shared" si="2"/>
        <v>RT_R_CMDR_2</v>
      </c>
    </row>
    <row r="39" ht="89.25" outlineLevel="1">
      <c r="A39" s="1" t="s">
        <v>194</v>
      </c>
      <c r="B39" s="1" t="s">
        <v>195</v>
      </c>
      <c r="C39" s="2" t="s">
        <v>78</v>
      </c>
      <c r="D39" s="6" t="str">
        <f>IFERROR(__xludf.DUMMYFUNCTION("IF(EQ(A39,B39),"""",SWITCH(IF(T39="""",0,COUNTA(SPLIT(T39,"" ""))),0,""Generic"",1,TRIM(T39),2,""Multicolor"",3,""Multicolor"",4,""Multicolor"",5,""Multicolor"",6,""Multicolor"",7,""Multicolor"",8,""Multicolor""))"),"Red")</f>
        <v>Red</v>
      </c>
      <c r="E39" s="1"/>
      <c r="F39" s="1" t="s">
        <v>87</v>
      </c>
      <c r="G39" s="1" t="s">
        <v>88</v>
      </c>
      <c r="H39" s="2" t="s">
        <v>25</v>
      </c>
      <c r="I39" s="11" t="s">
        <v>196</v>
      </c>
      <c r="J39" s="3"/>
      <c r="K39" s="1"/>
      <c r="L39" s="1"/>
      <c r="O39" s="3"/>
      <c r="Q39" s="1">
        <v>60</v>
      </c>
      <c r="R39" s="1">
        <v>50</v>
      </c>
      <c r="S39" s="4" t="str">
        <f t="shared" si="0"/>
        <v>False</v>
      </c>
      <c r="T39" s="4" t="str">
        <f>IFERROR(__xludf.DUMMYFUNCTION("CONCATENATE(if(REGEXMATCH(C39,""R""),"" Red"",""""),if(REGEXMATCH(C39,""O""),"" Orange"",""""),if(REGEXMATCH(C39,""Y""),"" Yellow"",""""),if(REGEXMATCH(C39,""G""),"" Green"",""""),if(REGEXMATCH(C39,""B""),"" Blue"",""""),if(REGEXMATCH(C39,""P""),"" Purple"&amp;""",""""))")," Red")</f>
        <v>Red</v>
      </c>
      <c r="U39" s="4" t="str">
        <f>IFERROR(__xludf.DUMMYFUNCTION("TRIM(CONCAT(""[right]"", REGEXREPLACE(C39, ""([ROYGBPXZC_]|1?[0-9])"", ""[img=119]res://textures/icons/$0.png[/img]\\n"")))"),"[right][img=119]res://textures/icons/2.png[/img]\n[img=119]res://textures/icons/R.png[/img]\n")</f>
        <v>[right][img=119]res://textures/icons/2.png[/img]\n[img=119]res://textures/icons/R.png[/img]\n</v>
      </c>
      <c r="V39" s="4" t="str">
        <f>IFERROR(__xludf.DUMMYFUNCTION("SUBSTITUTE(SUBSTITUTE(SUBSTITUTE(SUBSTITUTE(REGEXREPLACE(SUBSTITUTE(SUBSTITUTE(SUBSTITUTE(SUBSTITUTE(REGEXREPLACE(I39, ""(\[([ROYGBPTQUXZC_]|1?[0-9])\])"", ""[img=45]res://textures/icons/$2.png[/img]""),""--"",""—""),""-&gt;"",""•""),""~@"", CONCATENATE(""[i"&amp;"]"",REGEXEXTRACT(B39,""^([\s\S]*),|$""),""[/i]"")),""~"", CONCATENATE(""[i]"",B39,""[/i]"")),""(\([\s\S]*?\))"",""[i][color=#34343A]$0[/color][/i]""), ""&lt;"", ""[""), ""&gt;"", ""]""), ""[/p][p]"", ""[font_size=15]\n\n[/font_size]""), ""[br/]"", ""\n"")"),"[center][i][color=#34343A](This effect can only be deployed if you control a renowned asset. Banked energy can't be spent to deploy renowned cards.)[/color][/i][/center][p]Draw the bottom [u]X[/u] [i][color=#34343A](X is the damage your commander has take"&amp;"n this turn.)[/color][/i] cards of your deck.[font_size=15]\n\n[/font_size][u]Personal[/u] [i][color=#34343A](Shuffle [i]'Bing Du Zhe, Unhinged Researcher'[/i] into your deck.)[/color][/i][/p]")</f>
        <v xml:space="preserve">[center][i][color=#34343A](This effect can only be deployed if you control a renowned asset. Banked energy can't be spent to deploy renowned cards.)[/color][/i][/center][p]Draw the bottom [u]X[/u] [i][color=#34343A](X is the damage your commander has taken this turn.)[/color][/i] cards of your deck.[font_size=15]\n\n[/font_size][u]Personal[/u] [i][color=#34343A](Shuffle [i]'Bing Du Zhe, Unhinged Researcher'[/i] into your deck.)[/color][/i][/p]</v>
      </c>
      <c r="W39" s="4" t="str">
        <f t="shared" si="1"/>
        <v xml:space="preserve">[i]R. Effect[/i]</v>
      </c>
      <c r="X39" s="4" t="str">
        <f t="shared" si="2"/>
        <v>RT_R_CMDR_2b</v>
      </c>
    </row>
    <row r="40" ht="114.75" outlineLevel="1">
      <c r="A40" s="1" t="s">
        <v>197</v>
      </c>
      <c r="B40" s="1" t="s">
        <v>198</v>
      </c>
      <c r="C40" s="2" t="s">
        <v>110</v>
      </c>
      <c r="D40" s="6" t="str">
        <f>IFERROR(__xludf.DUMMYFUNCTION("IF(EQ(A40,B40),"""",SWITCH(IF(T40="""",0,COUNTA(SPLIT(T40,"" ""))),0,""Generic"",1,TRIM(T40),2,""Multicolor"",3,""Multicolor"",4,""Multicolor"",5,""Multicolor"",6,""Multicolor"",7,""Multicolor"",8,""Multicolor""))"),"Red")</f>
        <v>Red</v>
      </c>
      <c r="E40" s="1" t="s">
        <v>51</v>
      </c>
      <c r="F40" s="1" t="s">
        <v>94</v>
      </c>
      <c r="G40" s="1" t="s">
        <v>199</v>
      </c>
      <c r="H40" s="2" t="s">
        <v>96</v>
      </c>
      <c r="I40" s="3" t="s">
        <v>200</v>
      </c>
      <c r="J40" s="3"/>
      <c r="K40" s="1">
        <v>7</v>
      </c>
      <c r="L40" s="1">
        <v>4</v>
      </c>
      <c r="O40" s="3"/>
      <c r="Q40" s="1">
        <v>45</v>
      </c>
      <c r="R40" s="1">
        <v>50</v>
      </c>
      <c r="S40" s="4" t="str">
        <f t="shared" si="0"/>
        <v>True</v>
      </c>
      <c r="T40" s="4" t="str">
        <f>IFERROR(__xludf.DUMMYFUNCTION("CONCATENATE(if(REGEXMATCH(C40,""R""),"" Red"",""""),if(REGEXMATCH(C40,""O""),"" Orange"",""""),if(REGEXMATCH(C40,""Y""),"" Yellow"",""""),if(REGEXMATCH(C40,""G""),"" Green"",""""),if(REGEXMATCH(C40,""B""),"" Blue"",""""),if(REGEXMATCH(C40,""P""),"" Purple"&amp;""",""""))")," Red")</f>
        <v>Red</v>
      </c>
      <c r="U40" s="4" t="str">
        <f>IFERROR(__xludf.DUMMYFUNCTION("TRIM(CONCAT(""[right]"", REGEXREPLACE(C40, ""([ROYGBPXZC_]|1?[0-9])"", ""[img=119]res://textures/icons/$0.png[/img]\\n"")))"),"[right][img=119]res://textures/icons/3.png[/img]\n[img=119]res://textures/icons/R.png[/img]\n[img=119]res://textures/icons/R.png[/img]\n")</f>
        <v>[right][img=119]res://textures/icons/3.png[/img]\n[img=119]res://textures/icons/R.png[/img]\n[img=119]res://textures/icons/R.png[/img]\n</v>
      </c>
      <c r="V40" s="4" t="str">
        <f>IFERROR(__xludf.DUMMYFUNCTION("SUBSTITUTE(SUBSTITUTE(SUBSTITUTE(SUBSTITUTE(REGEXREPLACE(SUBSTITUTE(SUBSTITUTE(SUBSTITUTE(SUBSTITUTE(REGEXREPLACE(I40, ""(\[([ROYGBPTQUXZC_]|1?[0-9])\])"", ""[img=45]res://textures/icons/$2.png[/img]""),""--"",""—""),""-&gt;"",""•""),""~@"", CONCATENATE(""[i"&amp;"]"",REGEXEXTRACT(B40,""^([\s\S]*),|$""),""[/i]"")),""~"", CONCATENATE(""[i]"",B40,""[/i]"")),""(\([\s\S]*?\))"",""[i][color=#34343A]$0[/color][/i]""), ""&lt;"", ""[""), ""&gt;"", ""]""), ""[/p][p]"", ""[font_size=15]\n\n[/font_size]""), ""[br/]"", ""\n"")"),"[center][i][color=#34343A](If you obtain another card with the same name as [i]Rampaging Monstrosity[/i], you must choose one to keep and another to send to its owner's discard. Banked energy can't be spent to deploy renowned cards. Becomes [i]'Rampager's"&amp;" Fury'[/i] if you already control [i]Rampaging Monstrosity[/i].)[/color][/i]\n[u]Permanence[/u][/center][p]Whenever [i]Rampaging Monstrosity[/i] attacks it deals 1 damage to each other asset that attacked this turn, then choose a commander to lose [u]X[/u"&amp;"] [i][color=#34343A](X is the damage dealt this way)[/color][/i] loyalty.[/p]")</f>
        <v xml:space="preserve">[center][i][color=#34343A](If you obtain another card with the same name as [i]Rampaging Monstrosity[/i], you must choose one to keep and another to send to its owner's discard. Banked energy can't be spent to deploy renowned cards. Becomes [i]'Rampager's Fury'[/i] if you already control [i]Rampaging Monstrosity[/i].)[/color][/i]\n[u]Permanence[/u][/center][p]Whenever [i]Rampaging Monstrosity[/i] attacks it deals 1 damage to each other asset that attacked this turn, then choose a commander to lose [u]X[/u] [i][color=#34343A](X is the damage dealt this way)[/color][/i] loyalty.[/p]</v>
      </c>
      <c r="W40" s="4" t="str">
        <f t="shared" si="1"/>
        <v xml:space="preserve">[i]R. Asset[/i]</v>
      </c>
      <c r="X40" s="4" t="str">
        <f t="shared" si="2"/>
        <v>RT_RR_005</v>
      </c>
    </row>
    <row r="41" ht="89.25" outlineLevel="1">
      <c r="A41" s="1" t="s">
        <v>201</v>
      </c>
      <c r="B41" s="1" t="s">
        <v>202</v>
      </c>
      <c r="C41" s="2" t="s">
        <v>78</v>
      </c>
      <c r="D41" s="6" t="str">
        <f>IFERROR(__xludf.DUMMYFUNCTION("IF(EQ(A41,B41),"""",SWITCH(IF(T41="""",0,COUNTA(SPLIT(T41,"" ""))),0,""Generic"",1,TRIM(T41),2,""Multicolor"",3,""Multicolor"",4,""Multicolor"",5,""Multicolor"",6,""Multicolor"",7,""Multicolor"",8,""Multicolor""))"),"Red")</f>
        <v>Red</v>
      </c>
      <c r="E41" s="1"/>
      <c r="F41" s="1" t="s">
        <v>87</v>
      </c>
      <c r="G41" s="1" t="s">
        <v>203</v>
      </c>
      <c r="H41" s="2" t="s">
        <v>25</v>
      </c>
      <c r="I41" s="11" t="s">
        <v>204</v>
      </c>
      <c r="J41" s="3"/>
      <c r="O41" s="3"/>
      <c r="Q41" s="1">
        <v>60</v>
      </c>
      <c r="R41" s="1">
        <v>40</v>
      </c>
      <c r="S41" s="4" t="str">
        <f t="shared" si="0"/>
        <v>False</v>
      </c>
      <c r="T41" s="4" t="str">
        <f>IFERROR(__xludf.DUMMYFUNCTION("CONCATENATE(if(REGEXMATCH(C41,""R""),"" Red"",""""),if(REGEXMATCH(C41,""O""),"" Orange"",""""),if(REGEXMATCH(C41,""Y""),"" Yellow"",""""),if(REGEXMATCH(C41,""G""),"" Green"",""""),if(REGEXMATCH(C41,""B""),"" Blue"",""""),if(REGEXMATCH(C41,""P""),"" Purple"&amp;""",""""))")," Red")</f>
        <v>Red</v>
      </c>
      <c r="U41" s="4" t="str">
        <f>IFERROR(__xludf.DUMMYFUNCTION("TRIM(CONCAT(""[right]"", REGEXREPLACE(C41, ""([ROYGBPXZC_]|1?[0-9])"", ""[img=119]res://textures/icons/$0.png[/img]\\n"")))"),"[right][img=119]res://textures/icons/2.png[/img]\n[img=119]res://textures/icons/R.png[/img]\n")</f>
        <v>[right][img=119]res://textures/icons/2.png[/img]\n[img=119]res://textures/icons/R.png[/img]\n</v>
      </c>
      <c r="V41" s="4" t="str">
        <f>IFERROR(__xludf.DUMMYFUNCTION("SUBSTITUTE(SUBSTITUTE(SUBSTITUTE(SUBSTITUTE(REGEXREPLACE(SUBSTITUTE(SUBSTITUTE(SUBSTITUTE(SUBSTITUTE(REGEXREPLACE(I41, ""(\[([ROYGBPTQUXZC_]|1?[0-9])\])"", ""[img=45]res://textures/icons/$2.png[/img]""),""--"",""—""),""-&gt;"",""•""),""~@"", CONCATENATE(""[i"&amp;"]"",REGEXEXTRACT(B41,""^([\s\S]*),|$""),""[/i]"")),""~"", CONCATENATE(""[i]"",B41,""[/i]"")),""(\([\s\S]*?\))"",""[i][color=#34343A]$0[/color][/i]""), ""&lt;"", ""[""), ""&gt;"", ""]""), ""[/p][p]"", ""[font_size=15]\n\n[/font_size]""), ""[br/]"", ""\n"")"),"[center][i][color=#34343A](This effect can only be deployed if you control a renowned asset. Banked energy can't be spent to deploy renowned cards.)[/color][/i][/center][p]Each asset that attacked this turn permanently gains [u]bleeding[/u] [i][color=#343"&amp;"43A](At the end of their owner's turns the specified assets permanently lose 1 health.)[/color][/i][font_size=15]\n\n[/font_size][u]Personal[/u] [i][color=#34343A](Shuffle [i]'Rampaging Monstrosity'[/i] into your deck.)[/color][/i][/p]")</f>
        <v xml:space="preserve">[center][i][color=#34343A](This effect can only be deployed if you control a renowned asset. Banked energy can't be spent to deploy renowned cards.)[/color][/i][/center][p]Each asset that attacked this turn permanently gains [u]bleeding[/u] [i][color=#34343A](At the end of their owner's turns the specified assets permanently lose 1 health.)[/color][/i][font_size=15]\n\n[/font_size][u]Personal[/u] [i][color=#34343A](Shuffle [i]'Rampaging Monstrosity'[/i] into your deck.)[/color][/i][/p]</v>
      </c>
      <c r="W41" s="4" t="str">
        <f t="shared" si="1"/>
        <v xml:space="preserve">[i]R. Effect[/i]</v>
      </c>
      <c r="X41" s="4" t="str">
        <f t="shared" si="2"/>
        <v>RT_RR_005b</v>
      </c>
    </row>
    <row r="42" ht="114.75" outlineLevel="1">
      <c r="A42" s="1" t="s">
        <v>205</v>
      </c>
      <c r="B42" s="1" t="s">
        <v>206</v>
      </c>
      <c r="C42" s="1" t="s">
        <v>86</v>
      </c>
      <c r="D42" s="6" t="str">
        <f>IFERROR(__xludf.DUMMYFUNCTION("IF(EQ(A42,B42),"""",SWITCH(IF(T42="""",0,COUNTA(SPLIT(T42,"" ""))),0,""Generic"",1,TRIM(T42),2,""Multicolor"",3,""Multicolor"",4,""Multicolor"",5,""Multicolor"",6,""Multicolor"",7,""Multicolor"",8,""Multicolor""))"),"Red")</f>
        <v>Red</v>
      </c>
      <c r="F42" s="1" t="s">
        <v>26</v>
      </c>
      <c r="G42" s="1" t="s">
        <v>207</v>
      </c>
      <c r="H42" s="1">
        <v>9</v>
      </c>
      <c r="I42" s="3" t="s">
        <v>208</v>
      </c>
      <c r="J42" s="3"/>
      <c r="O42" s="3"/>
      <c r="Q42" s="1">
        <v>45</v>
      </c>
      <c r="R42" s="1">
        <v>40</v>
      </c>
      <c r="S42" s="4" t="str">
        <f t="shared" si="0"/>
        <v>False</v>
      </c>
      <c r="T42" s="4" t="str">
        <f>IFERROR(__xludf.DUMMYFUNCTION("CONCATENATE(if(REGEXMATCH(C42,""R""),"" Red"",""""),if(REGEXMATCH(C42,""O""),"" Orange"",""""),if(REGEXMATCH(C42,""Y""),"" Yellow"",""""),if(REGEXMATCH(C42,""G""),"" Green"",""""),if(REGEXMATCH(C42,""B""),"" Blue"",""""),if(REGEXMATCH(C42,""P""),"" Purple"&amp;""",""""))")," Red")</f>
        <v>Red</v>
      </c>
      <c r="U42" s="4" t="str">
        <f>IFERROR(__xludf.DUMMYFUNCTION("TRIM(CONCAT(""[right]"", REGEXREPLACE(C42, ""([ROYGBPXZC_]|1?[0-9])"", ""[img=119]res://textures/icons/$0.png[/img]\\n"")))"),"[right][img=119]res://textures/icons/1.png[/img]\n[img=119]res://textures/icons/R.png[/img]\n[img=119]res://textures/icons/R.png[/img]\n")</f>
        <v>[right][img=119]res://textures/icons/1.png[/img]\n[img=119]res://textures/icons/R.png[/img]\n[img=119]res://textures/icons/R.png[/img]\n</v>
      </c>
      <c r="V42" s="4" t="str">
        <f>IFERROR(__xludf.DUMMYFUNCTION("SUBSTITUTE(SUBSTITUTE(SUBSTITUTE(SUBSTITUTE(REGEXREPLACE(SUBSTITUTE(SUBSTITUTE(SUBSTITUTE(SUBSTITUTE(REGEXREPLACE(I42, ""(\[([ROYGBPTQUXZC_]|1?[0-9])\])"", ""[img=45]res://textures/icons/$2.png[/img]""),""--"",""—""),""-&gt;"",""•""),""~@"", CONCATENATE(""[i"&amp;"]"",REGEXEXTRACT(B42,""^([\s\S]*),|$""),""[/i]"")),""~"", CONCATENATE(""[i]"",B42,""[/i]"")),""(\([\s\S]*?\))"",""[i][color=#34343A]$0[/color][/i]""), ""&lt;"", ""[""), ""&gt;"", ""]""), ""[/p][p]"", ""[font_size=15]\n\n[/font_size]""), ""[br/]"", ""\n"")"),"[center][i][color=#34343A](When [i]Monstrous Experiment[/i] enters the battlefield or at the beginning of your turn, progress to the next phase unless the final phase has been reached.)[/color][/i][/center][p][b][i]1)[/i][/b] Each player [u]forfeits[/u] a"&amp;" combatant.[font_size=15]\n\n[/font_size][b][i]2)[/i][/b] Create a [u]transient[/u] [i]'Test Subject'[/i] in your hand.[font_size=15]\n\n[/font_size][b][i]Final)[/i][/b] Create a [u]fleeting[/u], [u]transient[/u] [i]'Mortal Reaction'[/i] in your hand.[/p]")</f>
        <v xml:space="preserve">[center][i][color=#34343A](When [i]Monstrous Experiment[/i] enters the battlefield or at the beginning of your turn, progress to the next phase unless the final phase has been reached.)[/color][/i][/center][p][b][i]1)[/i][/b] Each player [u]forfeits[/u] a combatant.[font_size=15]\n\n[/font_size][b][i]2)[/i][/b] Create a [u]transient[/u] [i]'Test Subject'[/i] in your hand.[font_size=15]\n\n[/font_size][b][i]Final)[/i][/b] Create a [u]fleeting[/u], [u]transient[/u] [i]'Mortal Reaction'[/i] in your hand.[/p]</v>
      </c>
      <c r="W42" s="4" t="str">
        <f t="shared" si="1"/>
        <v>[i]Asset[/i]</v>
      </c>
      <c r="X42" s="4" t="str">
        <f t="shared" si="2"/>
        <v>RT_RR_006</v>
      </c>
    </row>
    <row r="43" ht="51" outlineLevel="1">
      <c r="A43" s="1" t="s">
        <v>209</v>
      </c>
      <c r="B43" s="1" t="s">
        <v>210</v>
      </c>
      <c r="C43" s="2" t="s">
        <v>78</v>
      </c>
      <c r="D43" s="6" t="str">
        <f>IFERROR(__xludf.DUMMYFUNCTION("IF(EQ(A43,B43),"""",SWITCH(IF(T43="""",0,COUNTA(SPLIT(T43,"" ""))),0,""Generic"",1,TRIM(T43),2,""Multicolor"",3,""Multicolor"",4,""Multicolor"",5,""Multicolor"",6,""Multicolor"",7,""Multicolor"",8,""Multicolor""))"),"Red")</f>
        <v>Red</v>
      </c>
      <c r="E43" s="1"/>
      <c r="F43" s="1" t="s">
        <v>33</v>
      </c>
      <c r="H43" s="2" t="s">
        <v>81</v>
      </c>
      <c r="I43" s="3" t="s">
        <v>211</v>
      </c>
      <c r="J43" s="3" t="s">
        <v>212</v>
      </c>
      <c r="O43" s="3"/>
      <c r="Q43" s="1">
        <v>50</v>
      </c>
      <c r="R43" s="1">
        <v>50</v>
      </c>
      <c r="S43" s="4" t="str">
        <f t="shared" si="0"/>
        <v>False</v>
      </c>
      <c r="T43" s="4" t="str">
        <f>IFERROR(__xludf.DUMMYFUNCTION("CONCATENATE(if(REGEXMATCH(C43,""R""),"" Red"",""""),if(REGEXMATCH(C43,""O""),"" Orange"",""""),if(REGEXMATCH(C43,""Y""),"" Yellow"",""""),if(REGEXMATCH(C43,""G""),"" Green"",""""),if(REGEXMATCH(C43,""B""),"" Blue"",""""),if(REGEXMATCH(C43,""P""),"" Purple"&amp;""",""""))")," Red")</f>
        <v>Red</v>
      </c>
      <c r="U43" s="4" t="str">
        <f>IFERROR(__xludf.DUMMYFUNCTION("TRIM(CONCAT(""[right]"", REGEXREPLACE(C43, ""([ROYGBPXZC_]|1?[0-9])"", ""[img=119]res://textures/icons/$0.png[/img]\\n"")))"),"[right][img=119]res://textures/icons/2.png[/img]\n[img=119]res://textures/icons/R.png[/img]\n")</f>
        <v>[right][img=119]res://textures/icons/2.png[/img]\n[img=119]res://textures/icons/R.png[/img]\n</v>
      </c>
      <c r="V43" s="4" t="str">
        <f>IFERROR(__xludf.DUMMYFUNCTION("SUBSTITUTE(SUBSTITUTE(SUBSTITUTE(SUBSTITUTE(REGEXREPLACE(SUBSTITUTE(SUBSTITUTE(SUBSTITUTE(SUBSTITUTE(REGEXREPLACE(I43, ""(\[([ROYGBPTQUXZC_]|1?[0-9])\])"", ""[img=45]res://textures/icons/$2.png[/img]""),""--"",""—""),""-&gt;"",""•""),""~@"", CONCATENATE(""[i"&amp;"]"",REGEXEXTRACT(B43,""^([\s\S]*),|$""),""[/i]"")),""~"", CONCATENATE(""[i]"",B43,""[/i]"")),""(\([\s\S]*?\))"",""[i][color=#34343A]$0[/color][/i]""), ""&lt;"", ""[""), ""&gt;"", ""]""), ""[/p][p]"", ""[font_size=15]\n\n[/font_size]""), ""[br/]"", ""\n"")"),"Choose a combatant; its attack power and health both permanently become the lower of two. [i][color=#34343A](This is not a continuous effect.)[/color][/i]")</f>
        <v xml:space="preserve">Choose a combatant; its attack power and health both permanently become the lower of two. [i][color=#34343A](This is not a continuous effect.)[/color][/i]</v>
      </c>
      <c r="W43" s="4" t="str">
        <f t="shared" si="1"/>
        <v>[i]Effect[/i]</v>
      </c>
      <c r="X43" s="4" t="str">
        <f t="shared" si="2"/>
        <v>RT_RR_007</v>
      </c>
    </row>
    <row r="44" ht="63.75" outlineLevel="1">
      <c r="A44" s="1" t="s">
        <v>213</v>
      </c>
      <c r="B44" s="1" t="s">
        <v>214</v>
      </c>
      <c r="C44" s="2" t="s">
        <v>86</v>
      </c>
      <c r="D44" s="6" t="str">
        <f>IFERROR(__xludf.DUMMYFUNCTION("IF(EQ(A44,B44),"""",SWITCH(IF(T44="""",0,COUNTA(SPLIT(T44,"" ""))),0,""Generic"",1,TRIM(T44),2,""Multicolor"",3,""Multicolor"",4,""Multicolor"",5,""Multicolor"",6,""Multicolor"",7,""Multicolor"",8,""Multicolor""))"),"Red")</f>
        <v>Red</v>
      </c>
      <c r="E44" s="1"/>
      <c r="F44" s="1" t="s">
        <v>26</v>
      </c>
      <c r="G44" s="1" t="s">
        <v>215</v>
      </c>
      <c r="H44" s="2" t="s">
        <v>81</v>
      </c>
      <c r="I44" s="3" t="s">
        <v>216</v>
      </c>
      <c r="J44" s="3"/>
      <c r="O44" s="3"/>
      <c r="Q44" s="1">
        <v>60</v>
      </c>
      <c r="R44" s="1">
        <v>50</v>
      </c>
      <c r="S44" s="4" t="str">
        <f t="shared" si="0"/>
        <v>False</v>
      </c>
      <c r="T44" s="4" t="str">
        <f>IFERROR(__xludf.DUMMYFUNCTION("CONCATENATE(if(REGEXMATCH(C44,""R""),"" Red"",""""),if(REGEXMATCH(C44,""O""),"" Orange"",""""),if(REGEXMATCH(C44,""Y""),"" Yellow"",""""),if(REGEXMATCH(C44,""G""),"" Green"",""""),if(REGEXMATCH(C44,""B""),"" Blue"",""""),if(REGEXMATCH(C44,""P""),"" Purple"&amp;""",""""))")," Red")</f>
        <v>Red</v>
      </c>
      <c r="U44" s="4" t="str">
        <f>IFERROR(__xludf.DUMMYFUNCTION("TRIM(CONCAT(""[right]"", REGEXREPLACE(C44, ""([ROYGBPXZC_]|1?[0-9])"", ""[img=119]res://textures/icons/$0.png[/img]\\n"")))"),"[right][img=119]res://textures/icons/1.png[/img]\n[img=119]res://textures/icons/R.png[/img]\n[img=119]res://textures/icons/R.png[/img]\n")</f>
        <v>[right][img=119]res://textures/icons/1.png[/img]\n[img=119]res://textures/icons/R.png[/img]\n[img=119]res://textures/icons/R.png[/img]\n</v>
      </c>
      <c r="V44" s="4" t="str">
        <f>IFERROR(__xludf.DUMMYFUNCTION("SUBSTITUTE(SUBSTITUTE(SUBSTITUTE(SUBSTITUTE(REGEXREPLACE(SUBSTITUTE(SUBSTITUTE(SUBSTITUTE(SUBSTITUTE(REGEXREPLACE(I44, ""(\[([ROYGBPTQUXZC_]|1?[0-9])\])"", ""[img=45]res://textures/icons/$2.png[/img]""),""--"",""—""),""-&gt;"",""•""),""~@"", CONCATENATE(""[i"&amp;"]"",REGEXEXTRACT(B44,""^([\s\S]*),|$""),""[/i]"")),""~"", CONCATENATE(""[i]"",B44,""[/i]"")),""(\([\s\S]*?\))"",""[i][color=#34343A]$0[/color][/i]""), ""&lt;"", ""[""), ""&gt;"", ""]""), ""[/p][p]"", ""[font_size=15]\n\n[/font_size]""), ""[br/]"", ""\n"")"),"When [i]Subject Cage[/i] enters the battlefield, attach it to a combatant of your choice.[p]The attached combatant can't attack or intercept and has [u]bleeding[/u] [i][color=#34343A](At the end of their owner's turns the specified assets permanently lose"&amp;" 1 health.)[/color][/i][/p]")</f>
        <v xml:space="preserve">When [i]Subject Cage[/i] enters the battlefield, attach it to a combatant of your choice.[p]The attached combatant can't attack or intercept and has [u]bleeding[/u] [i][color=#34343A](At the end of their owner's turns the specified assets permanently lose 1 health.)[/color][/i][/p]</v>
      </c>
      <c r="W44" s="4" t="str">
        <f t="shared" si="1"/>
        <v>[i]Asset[/i]</v>
      </c>
      <c r="X44" s="4" t="str">
        <f t="shared" si="2"/>
        <v>RT_RR_008</v>
      </c>
    </row>
    <row r="45" ht="63.75" outlineLevel="1">
      <c r="A45" s="1" t="s">
        <v>217</v>
      </c>
      <c r="B45" s="1" t="s">
        <v>218</v>
      </c>
      <c r="C45" s="2" t="s">
        <v>219</v>
      </c>
      <c r="D45" s="6" t="str">
        <f>IFERROR(__xludf.DUMMYFUNCTION("IF(EQ(A42,B45),"""",SWITCH(IF(T42="""",0,COUNTA(SPLIT(T42,"" ""))),0,""Generic"",1,TRIM(T42),2,""Multicolor"",3,""Multicolor"",4,""Multicolor"",5,""Multicolor"",6,""Multicolor"",7,""Multicolor"",8,""Multicolor""))"),"Red")</f>
        <v>Red</v>
      </c>
      <c r="E45" s="1"/>
      <c r="F45" s="1" t="s">
        <v>33</v>
      </c>
      <c r="H45" s="2" t="s">
        <v>96</v>
      </c>
      <c r="I45" s="3" t="s">
        <v>220</v>
      </c>
      <c r="J45" s="3"/>
      <c r="O45" s="3"/>
      <c r="Q45" s="1">
        <v>60</v>
      </c>
      <c r="R45" s="1">
        <v>50</v>
      </c>
      <c r="S45" s="4" t="str">
        <f t="shared" si="0"/>
        <v>False</v>
      </c>
      <c r="T45" s="4" t="str">
        <f>IFERROR(__xludf.DUMMYFUNCTION("CONCATENATE(if(REGEXMATCH(C45,""R""),"" Red"",""""),if(REGEXMATCH(C45,""O""),"" Orange"",""""),if(REGEXMATCH(C45,""Y""),"" Yellow"",""""),if(REGEXMATCH(C45,""G""),"" Green"",""""),if(REGEXMATCH(C45,""B""),"" Blue"",""""),if(REGEXMATCH(C45,""P""),"" Purple"&amp;""",""""))")," Red")</f>
        <v>Red</v>
      </c>
      <c r="U45" s="4" t="str">
        <f>IFERROR(__xludf.DUMMYFUNCTION("TRIM(CONCAT(""[right]"", REGEXREPLACE(C45, ""([ROYGBPXZC_]|1?[0-9])"", ""[img=119]res://textures/icons/$0.png[/img]\\n"")))"),"[right][img=119]res://textures/icons/4.png[/img]\n[img=119]res://textures/icons/R.png[/img]\n[img=119]res://textures/icons/R.png[/img]\n[img=119]res://textures/icons/R.png[/img]\n")</f>
        <v>[right][img=119]res://textures/icons/4.png[/img]\n[img=119]res://textures/icons/R.png[/img]\n[img=119]res://textures/icons/R.png[/img]\n[img=119]res://textures/icons/R.png[/img]\n</v>
      </c>
      <c r="V45" s="4" t="str">
        <f>IFERROR(__xludf.DUMMYFUNCTION("SUBSTITUTE(SUBSTITUTE(SUBSTITUTE(SUBSTITUTE(REGEXREPLACE(SUBSTITUTE(SUBSTITUTE(SUBSTITUTE(SUBSTITUTE(REGEXREPLACE(I45, ""(\[([ROYGBPTQUXZC_]|1?[0-9])\])"", ""[img=45]res://textures/icons/$2.png[/img]""),""--"",""—""),""-&gt;"",""•""),""~@"", CONCATENATE(""[i"&amp;"]"",REGEXEXTRACT(B45,""^([\s\S]*),|$""),""[/i]"")),""~"", CONCATENATE(""[i]"",B45,""[/i]"")),""(\([\s\S]*?\))"",""[i][color=#34343A]$0[/color][/i]""), ""&lt;"", ""[""), ""&gt;"", ""]""), ""[/p][p]"", ""[font_size=15]\n\n[/font_size]""), ""[br/]"", ""\n"")"),"[p]Each individual combatant permanently gets [u]-X/-X[/u] [i][color=#34343A](X is its attack power.)[/color][/i][font_size=15]\n\n[/font_size]Each opponent [u]decays 4[/u] [i][color=#34343A](The specified players put the top 4 cards of their deck into th"&amp;"eir discard.)[/color][/i][font_size=15]\n\n[/font_size]Your commander loses 3 loyalty.[/p]")</f>
        <v xml:space="preserve">[p]Each individual combatant permanently gets [u]-X/-X[/u] [i][color=#34343A](X is its attack power.)[/color][/i][font_size=15]\n\n[/font_size]Each opponent [u]decays 4[/u] [i][color=#34343A](The specified players put the top 4 cards of their deck into their discard.)[/color][/i][font_size=15]\n\n[/font_size]Your commander loses 3 loyalty.[/p]</v>
      </c>
      <c r="W45" s="4" t="str">
        <f t="shared" si="1"/>
        <v>[i]Effect[/i]</v>
      </c>
      <c r="X45" s="4" t="str">
        <f t="shared" si="2"/>
        <v>RT_RU_009</v>
      </c>
    </row>
    <row r="46" ht="25.5" outlineLevel="1">
      <c r="A46" s="1" t="s">
        <v>221</v>
      </c>
      <c r="B46" s="1" t="s">
        <v>222</v>
      </c>
      <c r="C46" s="2" t="s">
        <v>86</v>
      </c>
      <c r="D46" s="6" t="str">
        <f>IFERROR(__xludf.DUMMYFUNCTION("IF(EQ(A46,B46),"""",SWITCH(IF(T46="""",0,COUNTA(SPLIT(T46,"" ""))),0,""Generic"",1,TRIM(T46),2,""Multicolor"",3,""Multicolor"",4,""Multicolor"",5,""Multicolor"",6,""Multicolor"",7,""Multicolor"",8,""Multicolor""))"),"Red")</f>
        <v>Red</v>
      </c>
      <c r="E46" s="1"/>
      <c r="F46" s="1" t="s">
        <v>33</v>
      </c>
      <c r="G46" s="1" t="s">
        <v>223</v>
      </c>
      <c r="H46" s="2" t="s">
        <v>129</v>
      </c>
      <c r="I46" s="3" t="s">
        <v>224</v>
      </c>
      <c r="J46" s="3"/>
      <c r="O46" s="3"/>
      <c r="Q46" s="1">
        <v>45</v>
      </c>
      <c r="R46" s="1">
        <v>50</v>
      </c>
      <c r="S46" s="4" t="str">
        <f t="shared" si="0"/>
        <v>False</v>
      </c>
      <c r="T46" s="4" t="str">
        <f>IFERROR(__xludf.DUMMYFUNCTION("CONCATENATE(if(REGEXMATCH(C46,""R""),"" Red"",""""),if(REGEXMATCH(C46,""O""),"" Orange"",""""),if(REGEXMATCH(C46,""Y""),"" Yellow"",""""),if(REGEXMATCH(C46,""G""),"" Green"",""""),if(REGEXMATCH(C46,""B""),"" Blue"",""""),if(REGEXMATCH(C46,""P""),"" Purple"&amp;""",""""))")," Red")</f>
        <v>Red</v>
      </c>
      <c r="U46" s="4" t="str">
        <f>IFERROR(__xludf.DUMMYFUNCTION("TRIM(CONCAT(""[right]"", REGEXREPLACE(C46, ""([ROYGBPXZC_]|1?[0-9])"", ""[img=119]res://textures/icons/$0.png[/img]\\n"")))"),"[right][img=119]res://textures/icons/1.png[/img]\n[img=119]res://textures/icons/R.png[/img]\n[img=119]res://textures/icons/R.png[/img]\n")</f>
        <v>[right][img=119]res://textures/icons/1.png[/img]\n[img=119]res://textures/icons/R.png[/img]\n[img=119]res://textures/icons/R.png[/img]\n</v>
      </c>
      <c r="V46" s="4" t="str">
        <f>IFERROR(__xludf.DUMMYFUNCTION("SUBSTITUTE(SUBSTITUTE(SUBSTITUTE(SUBSTITUTE(REGEXREPLACE(SUBSTITUTE(SUBSTITUTE(SUBSTITUTE(SUBSTITUTE(REGEXREPLACE(I46, ""(\[([ROYGBPTQUXZC_]|1?[0-9])\])"", ""[img=45]res://textures/icons/$2.png[/img]""),""--"",""—""),""-&gt;"",""•""),""~@"", CONCATENATE(""[i"&amp;"]"",REGEXEXTRACT(B46,""^([\s\S]*),|$""),""[/i]"")),""~"", CONCATENATE(""[i]"",B46,""[/i]"")),""(\([\s\S]*?\))"",""[i][color=#34343A]$0[/color][/i]""), ""&lt;"", ""[""), ""&gt;"", ""]""), ""[/p][p]"", ""[font_size=15]\n\n[/font_size]""), ""[br/]"", ""\n"")"),"Choose a combatant; it permanently gets -3/-3.[p]Your commander gains 3 loyalty.[/p]")</f>
        <v xml:space="preserve">Choose a combatant; it permanently gets -3/-3.[p]Your commander gains 3 loyalty.[/p]</v>
      </c>
      <c r="W46" s="4" t="str">
        <f t="shared" si="1"/>
        <v>[i]Effect[/i]</v>
      </c>
      <c r="X46" s="4" t="str">
        <f t="shared" si="2"/>
        <v>RT_RU_010</v>
      </c>
    </row>
    <row r="47" ht="102" outlineLevel="1">
      <c r="A47" s="1" t="s">
        <v>225</v>
      </c>
      <c r="B47" s="1" t="s">
        <v>226</v>
      </c>
      <c r="C47" s="1" t="s">
        <v>182</v>
      </c>
      <c r="D47" s="6" t="str">
        <f>IFERROR(__xludf.DUMMYFUNCTION("IF(EQ(A47,B47),"""",SWITCH(IF(T47="""",0,COUNTA(SPLIT(T47,"" ""))),0,""Generic"",1,TRIM(T47),2,""Multicolor"",3,""Multicolor"",4,""Multicolor"",5,""Multicolor"",6,""Multicolor"",7,""Multicolor"",8,""Multicolor""))"),"Red")</f>
        <v>Red</v>
      </c>
      <c r="F47" s="1" t="s">
        <v>26</v>
      </c>
      <c r="G47" s="1" t="s">
        <v>227</v>
      </c>
      <c r="H47" s="1">
        <v>5</v>
      </c>
      <c r="I47" s="3" t="s">
        <v>228</v>
      </c>
      <c r="J47" s="3"/>
      <c r="O47" s="3"/>
      <c r="Q47" s="1">
        <v>50</v>
      </c>
      <c r="R47" s="1">
        <v>50</v>
      </c>
      <c r="S47" s="4" t="str">
        <f t="shared" si="0"/>
        <v>False</v>
      </c>
      <c r="T47" s="4" t="str">
        <f>IFERROR(__xludf.DUMMYFUNCTION("CONCATENATE(if(REGEXMATCH(C47,""R""),"" Red"",""""),if(REGEXMATCH(C47,""O""),"" Orange"",""""),if(REGEXMATCH(C47,""Y""),"" Yellow"",""""),if(REGEXMATCH(C47,""G""),"" Green"",""""),if(REGEXMATCH(C47,""B""),"" Blue"",""""),if(REGEXMATCH(C47,""P""),"" Purple"&amp;""",""""))")," Red")</f>
        <v>Red</v>
      </c>
      <c r="U47" s="4" t="str">
        <f>IFERROR(__xludf.DUMMYFUNCTION("TRIM(CONCAT(""[right]"", REGEXREPLACE(C47, ""([ROYGBPXZC_]|1?[0-9])"", ""[img=119]res://textures/icons/$0.png[/img]\\n"")))"),"[right][img=119]res://textures/icons/R.png[/img]\n")</f>
        <v>[right][img=119]res://textures/icons/R.png[/img]\n</v>
      </c>
      <c r="V47" s="4" t="str">
        <f>IFERROR(__xludf.DUMMYFUNCTION("SUBSTITUTE(SUBSTITUTE(SUBSTITUTE(SUBSTITUTE(REGEXREPLACE(SUBSTITUTE(SUBSTITUTE(SUBSTITUTE(SUBSTITUTE(REGEXREPLACE(I47, ""(\[([ROYGBPTQUXZC_]|1?[0-9])\])"", ""[img=45]res://textures/icons/$2.png[/img]""),""--"",""—""),""-&gt;"",""•""),""~@"", CONCATENATE(""[i"&amp;"]"",REGEXEXTRACT(B47,""^([\s\S]*),|$""),""[/i]"")),""~"", CONCATENATE(""[i]"",B47,""[/i]"")),""(\([\s\S]*?\))"",""[i][color=#34343A]$0[/color][/i]""), ""&lt;"", ""[""), ""&gt;"", ""]""), ""[/p][p]"", ""[font_size=15]\n\n[/font_size]""), ""[br/]"", ""\n"")"),"[center][u]Warrant[/u] [i][color=#34343A](When you deploy [i]Weaponized Disease[/i], shuffle an 'Incarceration' into your deck.)[/color][/i][/center][p][u]Forfeit[/u] [i][color=#34343A](Put the specified card into its owner's discard.)[/color][/i] [i]Weap"&amp;"onized Disease[/i], [img=45]res://textures/icons/X.png[/img]: Choose [img=45]res://textures/icons/X.png[/img]:[ul]Each player's commander loses 3 loyalty.\nEach player discards a card in their hand.\nEach player [u]forfeits[/u] a generator they control.\n"&amp;"Each player [u]forfeits[/u] an asset they control.[/ul][/p]")</f>
        <v xml:space="preserve">[center][u]Warrant[/u] [i][color=#34343A](When you deploy [i]Weaponized Disease[/i], shuffle an 'Incarceration' into your deck.)[/color][/i][/center][p][u]Forfeit[/u] [i][color=#34343A](Put the specified card into its owner's discard.)[/color][/i] [i]Weaponized Disease[/i], [img=45]res://textures/icons/X.png[/img]: Choose [img=45]res://textures/icons/X.png[/img]:[ul]Each player's commander loses 3 loyalty.\nEach player discards a card in their hand.\nEach player [u]forfeits[/u] a generator they control.\nEach player [u]forfeits[/u] an asset they control.[/ul][/p]</v>
      </c>
      <c r="W47" s="4" t="str">
        <f t="shared" si="1"/>
        <v>[i]Asset[/i]</v>
      </c>
      <c r="X47" s="4" t="str">
        <f t="shared" si="2"/>
        <v>RT_RU_011</v>
      </c>
    </row>
    <row r="48" ht="51" outlineLevel="1">
      <c r="A48" s="1" t="s">
        <v>229</v>
      </c>
      <c r="B48" s="4" t="s">
        <v>230</v>
      </c>
      <c r="C48" s="5" t="s">
        <v>231</v>
      </c>
      <c r="D48" s="6" t="str">
        <f>IFERROR(__xludf.DUMMYFUNCTION("IF(ISBLANK(A48),"""",SWITCH(IF(T48="""",0,COUNTA(SPLIT(T48,"" ""))),0,""Generic"",1,TRIM(T48),2,""Multicolor"",3,""Multicolor"",4,""Multicolor"",5,""Multicolor"",6,""Multicolor"",7,""Multicolor"",8,""Multicolor""))"),"Red")</f>
        <v>Red</v>
      </c>
      <c r="E48" s="4"/>
      <c r="F48" s="4" t="s">
        <v>33</v>
      </c>
      <c r="G48" s="4" t="s">
        <v>232</v>
      </c>
      <c r="H48" s="5" t="s">
        <v>129</v>
      </c>
      <c r="I48" s="7" t="s">
        <v>233</v>
      </c>
      <c r="J48" s="3"/>
      <c r="O48" s="3"/>
      <c r="Q48" s="1">
        <v>60</v>
      </c>
      <c r="R48" s="1">
        <v>50</v>
      </c>
      <c r="S48" s="4" t="str">
        <f t="shared" si="0"/>
        <v>False</v>
      </c>
      <c r="T48" s="4" t="str">
        <f>IFERROR(__xludf.DUMMYFUNCTION("CONCATENATE(if(REGEXMATCH(C48,""R""),"" Red"",""""),if(REGEXMATCH(C48,""O""),"" Orange"",""""),if(REGEXMATCH(C48,""Y""),"" Yellow"",""""),if(REGEXMATCH(C48,""G""),"" Green"",""""),if(REGEXMATCH(C48,""B""),"" Blue"",""""),if(REGEXMATCH(C48,""P""),"" Purple"&amp;""",""""))")," Red")</f>
        <v>Red</v>
      </c>
      <c r="U48" s="4" t="str">
        <f>IFERROR(__xludf.DUMMYFUNCTION("TRIM(CONCAT(""[right]"", REGEXREPLACE(C48, ""([ROYGBPXZC_]|1?[0-9])"", ""[img=119]res://textures/icons/$0.png[/img]\\n"")))"),"[right][img=119]res://textures/icons/X.png[/img]\n[img=119]res://textures/icons/X.png[/img]\n[img=119]res://textures/icons/R.png[/img]\n")</f>
        <v>[right][img=119]res://textures/icons/X.png[/img]\n[img=119]res://textures/icons/X.png[/img]\n[img=119]res://textures/icons/R.png[/img]\n</v>
      </c>
      <c r="V48" s="4" t="str">
        <f>IFERROR(__xludf.DUMMYFUNCTION("SUBSTITUTE(SUBSTITUTE(SUBSTITUTE(SUBSTITUTE(REGEXREPLACE(SUBSTITUTE(SUBSTITUTE(SUBSTITUTE(SUBSTITUTE(REGEXREPLACE(I48, ""(\[([ROYGBPTQUXZC_]|1?[0-9])\])"", ""[img=45]res://textures/icons/$2.png[/img]""),""--"",""—""),""-&gt;"",""•""),""~@"", CONCATENATE(""[i"&amp;"]"",REGEXEXTRACT(B48,""^([\s\S]*),|$""),""[/i]"")),""~"", CONCATENATE(""[i]"",B48,""[/i]"")),""(\([\s\S]*?\))"",""[i][color=#34343A]$0[/color][/i]""), ""&lt;"", ""[""), ""&gt;"", ""]""), ""[/p][p]"", ""[font_size=15]\n\n[/font_size]""), ""[br/]"", ""\n"")"),"[p]Choose an opponent, [i]Entropy[/i] costs [img=45]res://textures/icons/2.png[/img] less for every card that opponent has drawn this turn.[font_size=15]\n\n[/font_size]That opponent [u]decays [img=45]res://textures/icons/X.png[/img][/u] [i][color=#34343A"&amp;"](The specified player puts the top X cards of their deck into their discard.)[/color][/i][/p]")</f>
        <v xml:space="preserve">[p]Choose an opponent, [i]Entropy[/i] costs [img=45]res://textures/icons/2.png[/img] less for every card that opponent has drawn this turn.[font_size=15]\n\n[/font_size]That opponent [u]decays [img=45]res://textures/icons/X.png[/img][/u] [i][color=#34343A](The specified player puts the top X cards of their deck into their discard.)[/color][/i][/p]</v>
      </c>
      <c r="W48" s="4" t="str">
        <f t="shared" si="1"/>
        <v>[i]Effect[/i]</v>
      </c>
      <c r="X48" s="4" t="str">
        <f t="shared" si="2"/>
        <v>RT_RU_012</v>
      </c>
    </row>
    <row r="49" ht="38.25" outlineLevel="1">
      <c r="A49" s="1" t="s">
        <v>234</v>
      </c>
      <c r="B49" s="4" t="s">
        <v>235</v>
      </c>
      <c r="C49" s="5" t="s">
        <v>236</v>
      </c>
      <c r="D49" s="6" t="str">
        <f>IFERROR(__xludf.DUMMYFUNCTION("IF(ISBLANK(A49),"""",SWITCH(IF(T49="""",0,COUNTA(SPLIT(T49,"" ""))),0,""Generic"",1,TRIM(T49),2,""Multicolor"",3,""Multicolor"",4,""Multicolor"",5,""Multicolor"",6,""Multicolor"",7,""Multicolor"",8,""Multicolor""))"),"Red")</f>
        <v>Red</v>
      </c>
      <c r="E49" s="4" t="s">
        <v>51</v>
      </c>
      <c r="F49" s="4" t="s">
        <v>26</v>
      </c>
      <c r="G49" s="4" t="s">
        <v>237</v>
      </c>
      <c r="H49" s="5" t="s">
        <v>119</v>
      </c>
      <c r="I49" s="7" t="s">
        <v>238</v>
      </c>
      <c r="J49" s="4"/>
      <c r="K49" s="8">
        <v>1</v>
      </c>
      <c r="L49" s="8">
        <v>2</v>
      </c>
      <c r="O49" s="3"/>
      <c r="Q49" s="1">
        <v>60</v>
      </c>
      <c r="R49" s="1">
        <v>50</v>
      </c>
      <c r="S49" s="4" t="str">
        <f t="shared" si="0"/>
        <v>True</v>
      </c>
      <c r="T49" s="4" t="str">
        <f>IFERROR(__xludf.DUMMYFUNCTION("CONCATENATE(if(REGEXMATCH(C49,""R""),"" Red"",""""),if(REGEXMATCH(C49,""O""),"" Orange"",""""),if(REGEXMATCH(C49,""Y""),"" Yellow"",""""),if(REGEXMATCH(C49,""G""),"" Green"",""""),if(REGEXMATCH(C49,""B""),"" Blue"",""""),if(REGEXMATCH(C49,""P""),"" Purple"&amp;""",""""))")," Red")</f>
        <v>Red</v>
      </c>
      <c r="U49" s="4" t="str">
        <f>IFERROR(__xludf.DUMMYFUNCTION("TRIM(CONCAT(""[right]"", REGEXREPLACE(C49, ""([ROYGBPXZC_]|1?[0-9])"", ""[img=119]res://textures/icons/$0.png[/img]\\n"")))"),"[right][img=119]res://textures/icons/R.png[/img]\n[img=119]res://textures/icons/R.png[/img]\n")</f>
        <v>[right][img=119]res://textures/icons/R.png[/img]\n[img=119]res://textures/icons/R.png[/img]\n</v>
      </c>
      <c r="V49" s="4" t="str">
        <f>IFERROR(__xludf.DUMMYFUNCTION("SUBSTITUTE(SUBSTITUTE(SUBSTITUTE(SUBSTITUTE(REGEXREPLACE(SUBSTITUTE(SUBSTITUTE(SUBSTITUTE(SUBSTITUTE(REGEXREPLACE(I49, ""(\[([ROYGBPTQUXZC_]|1?[0-9])\])"", ""[img=45]res://textures/icons/$2.png[/img]""),""--"",""—""),""-&gt;"",""•""),""~@"", CONCATENATE(""[i"&amp;"]"",REGEXEXTRACT(B49,""^([\s\S]*),|$""),""[/i]"")),""~"", CONCATENATE(""[i]"",B49,""[/i]"")),""(\([\s\S]*?\))"",""[i][color=#34343A]$0[/color][/i]""), ""&lt;"", ""[""), ""&gt;"", ""]""), ""[/p][p]"", ""[font_size=15]\n\n[/font_size]""), ""[br/]"", ""\n"")"),"[u]Once[/u] [i][color=#34343A](As you activate this effect, remove it from this card)[/color][/i]: each player [u]forfeits[/u] [i][color=#34343A](Put the specified card into its owner's discard.)[/color][/i] a combatant they control.")</f>
        <v xml:space="preserve">[u]Once[/u] [i][color=#34343A](As you activate this effect, remove it from this card)[/color][/i]: each player [u]forfeits[/u] [i][color=#34343A](Put the specified card into its owner's discard.)[/color][/i] a combatant they control.</v>
      </c>
      <c r="W49" s="4" t="str">
        <f t="shared" si="1"/>
        <v>[i]Asset[/i]</v>
      </c>
      <c r="X49" s="4" t="str">
        <f t="shared" si="2"/>
        <v>RT_RU_013</v>
      </c>
    </row>
    <row r="50" ht="38.25" outlineLevel="1">
      <c r="A50" s="1" t="s">
        <v>239</v>
      </c>
      <c r="B50" s="1" t="s">
        <v>240</v>
      </c>
      <c r="C50" s="2" t="s">
        <v>123</v>
      </c>
      <c r="D50" s="6" t="str">
        <f>IFERROR(__xludf.DUMMYFUNCTION("IF(EQ(A50,B50),"""",SWITCH(IF(T50="""",0,COUNTA(SPLIT(T50,"" ""))),0,""Generic"",1,TRIM(T50),2,""Multicolor"",3,""Multicolor"",4,""Multicolor"",5,""Multicolor"",6,""Multicolor"",7,""Multicolor"",8,""Multicolor""))"),"Red")</f>
        <v>Red</v>
      </c>
      <c r="E50" s="1" t="s">
        <v>51</v>
      </c>
      <c r="F50" s="1" t="s">
        <v>26</v>
      </c>
      <c r="G50" s="1" t="s">
        <v>241</v>
      </c>
      <c r="H50" s="2" t="s">
        <v>119</v>
      </c>
      <c r="I50" s="11" t="s">
        <v>242</v>
      </c>
      <c r="J50" s="3"/>
      <c r="K50" s="1">
        <v>3</v>
      </c>
      <c r="L50" s="1">
        <v>3</v>
      </c>
      <c r="O50" s="3"/>
      <c r="Q50" s="1">
        <v>60</v>
      </c>
      <c r="R50" s="1">
        <v>50</v>
      </c>
      <c r="S50" s="4" t="str">
        <f t="shared" si="0"/>
        <v>True</v>
      </c>
      <c r="T50" s="4" t="str">
        <f>IFERROR(__xludf.DUMMYFUNCTION("CONCATENATE(if(REGEXMATCH(C50,""R""),"" Red"",""""),if(REGEXMATCH(C50,""O""),"" Orange"",""""),if(REGEXMATCH(C50,""Y""),"" Yellow"",""""),if(REGEXMATCH(C50,""G""),"" Green"",""""),if(REGEXMATCH(C50,""B""),"" Blue"",""""),if(REGEXMATCH(C50,""P""),"" Purple"&amp;""",""""))")," Red")</f>
        <v>Red</v>
      </c>
      <c r="U50" s="4" t="str">
        <f>IFERROR(__xludf.DUMMYFUNCTION("TRIM(CONCAT(""[right]"", REGEXREPLACE(C50, ""([ROYGBPXZC_]|1?[0-9])"", ""[img=119]res://textures/icons/$0.png[/img]\\n"")))"),"[right][img=119]res://textures/icons/1.png[/img]\n[img=119]res://textures/icons/R.png[/img]\n")</f>
        <v>[right][img=119]res://textures/icons/1.png[/img]\n[img=119]res://textures/icons/R.png[/img]\n</v>
      </c>
      <c r="V50" s="4" t="str">
        <f>IFERROR(__xludf.DUMMYFUNCTION("SUBSTITUTE(SUBSTITUTE(SUBSTITUTE(SUBSTITUTE(REGEXREPLACE(SUBSTITUTE(SUBSTITUTE(SUBSTITUTE(SUBSTITUTE(REGEXREPLACE(I50, ""(\[([ROYGBPTQUXZC_]|1?[0-9])\])"", ""[img=45]res://textures/icons/$2.png[/img]""),""--"",""—""),""-&gt;"",""•""),""~@"", CONCATENATE(""[i"&amp;"]"",REGEXEXTRACT(B50,""^([\s\S]*),|$""),""[/i]"")),""~"", CONCATENATE(""[i]"",B50,""[/i]"")),""(\([\s\S]*?\))"",""[i][color=#34343A]$0[/color][/i]""), ""&lt;"", ""[""), ""&gt;"", ""]""), ""[/p][p]"", ""[font_size=15]\n\n[/font_size]""), ""[br/]"", ""\n"")"),"[center][u]Permanence[/u] [i][color=#34343A](Damage [i]Failed Experiment[/i] deals permanently reduces the health of the assets which it damages.)[/color][/i][/center]")</f>
        <v xml:space="preserve">[center][u]Permanence[/u] [i][color=#34343A](Damage [i]Failed Experiment[/i] deals permanently reduces the health of the assets which it damages.)[/color][/i][/center]</v>
      </c>
      <c r="W50" s="4" t="str">
        <f t="shared" si="1"/>
        <v>[i]Asset[/i]</v>
      </c>
      <c r="X50" s="4" t="str">
        <f t="shared" si="2"/>
        <v>RT_RU_014</v>
      </c>
    </row>
    <row r="51" ht="89.25" outlineLevel="1">
      <c r="A51" s="1" t="s">
        <v>243</v>
      </c>
      <c r="B51" s="4" t="s">
        <v>244</v>
      </c>
      <c r="C51" s="5" t="s">
        <v>78</v>
      </c>
      <c r="D51" s="6" t="str">
        <f>IFERROR(__xludf.DUMMYFUNCTION("IF(ISBLANK(A51),"""",SWITCH(IF(T51="""",0,COUNTA(SPLIT(T51,"" ""))),0,""Generic"",1,TRIM(T51),2,""Multicolor"",3,""Multicolor"",4,""Multicolor"",5,""Multicolor"",6,""Multicolor"",7,""Multicolor"",8,""Multicolor""))"),"Red")</f>
        <v>Red</v>
      </c>
      <c r="E51" s="4" t="s">
        <v>79</v>
      </c>
      <c r="F51" s="4" t="s">
        <v>26</v>
      </c>
      <c r="G51" s="4" t="s">
        <v>245</v>
      </c>
      <c r="H51" s="5" t="s">
        <v>129</v>
      </c>
      <c r="I51" s="7" t="s">
        <v>246</v>
      </c>
      <c r="J51" s="4"/>
      <c r="K51" s="8">
        <v>2</v>
      </c>
      <c r="L51" s="8">
        <v>4</v>
      </c>
      <c r="O51" s="3"/>
      <c r="Q51" s="1">
        <v>50</v>
      </c>
      <c r="R51" s="1">
        <v>40</v>
      </c>
      <c r="S51" s="4" t="str">
        <f t="shared" si="0"/>
        <v>True</v>
      </c>
      <c r="T51" s="4" t="str">
        <f>IFERROR(__xludf.DUMMYFUNCTION("CONCATENATE(if(REGEXMATCH(C51,""R""),"" Red"",""""),if(REGEXMATCH(C51,""O""),"" Orange"",""""),if(REGEXMATCH(C51,""Y""),"" Yellow"",""""),if(REGEXMATCH(C51,""G""),"" Green"",""""),if(REGEXMATCH(C51,""B""),"" Blue"",""""),if(REGEXMATCH(C51,""P""),"" Purple"&amp;""",""""))")," Red")</f>
        <v>Red</v>
      </c>
      <c r="U51" s="4" t="str">
        <f>IFERROR(__xludf.DUMMYFUNCTION("TRIM(CONCAT(""[right]"", REGEXREPLACE(C51, ""([ROYGBPXZC_]|1?[0-9])"", ""[img=119]res://textures/icons/$0.png[/img]\\n"")))"),"[right][img=119]res://textures/icons/2.png[/img]\n[img=119]res://textures/icons/R.png[/img]\n")</f>
        <v>[right][img=119]res://textures/icons/2.png[/img]\n[img=119]res://textures/icons/R.png[/img]\n</v>
      </c>
      <c r="V51" s="4" t="str">
        <f>IFERROR(__xludf.DUMMYFUNCTION("SUBSTITUTE(SUBSTITUTE(SUBSTITUTE(SUBSTITUTE(REGEXREPLACE(SUBSTITUTE(SUBSTITUTE(SUBSTITUTE(SUBSTITUTE(REGEXREPLACE(I51, ""(\[([ROYGBPTQUXZC_]|1?[0-9])\])"", ""[img=45]res://textures/icons/$2.png[/img]""),""--"",""—""),""-&gt;"",""•""),""~@"", CONCATENATE(""[i"&amp;"]"",REGEXEXTRACT(B51,""^([\s\S]*),|$""),""[/i]"")),""~"", CONCATENATE(""[i]"",B51,""[/i]"")),""(\([\s\S]*?\))"",""[i][color=#34343A]$0[/color][/i]""), ""&lt;"", ""[""), ""&gt;"", ""]""), ""[/p][p]"", ""[font_size=15]\n\n[/font_size]""), ""[br/]"", ""\n"")"),"[center][u]Permanence[/u] [i][color=#34343A](Damage [i]Questionable Intern[/i] deals permanently reduces the health of the assets which it damages.)[/color][/i], [u]Quick Hire[/u] [i][color=#34343A](When [i]Questionable Intern[/i] is hired as a generator,"&amp;" it can exhaust as soon as it is hired.)[/color][/i][/center][p][img=45]res://textures/icons/T.png[/img]: Add [img=45]res://textures/icons/R.png[/img].[font_size=15]\n\n[/font_size][img=45]res://textures/icons/2.png[/img][img=45]res://textures/icons/R.png"&amp;"[/img][img=45]res://textures/icons/R.png[/img], [img=45]res://textures/icons/T.png[/img]: Your commander loses [u]X[/u] [i][color=#34343A](X is the number of cards in your hand.)[/color][/i] loyalty. Draw a card.[/p]")</f>
        <v xml:space="preserve">[center][u]Permanence[/u] [i][color=#34343A](Damage [i]Questionable Intern[/i] deals permanently reduces the health of the assets which it damages.)[/color][/i], [u]Quick Hire[/u] [i][color=#34343A](When [i]Questionable Intern[/i] is hired as a generator, it can exhaust as soon as it is hired.)[/color][/i][/center][p][img=45]res://textures/icons/T.png[/img]: Add [img=45]res://textures/icons/R.png[/img].[font_size=15]\n\n[/font_size][img=45]res://textures/icons/2.png[/img][img=45]res://textures/icons/R.png[/img][img=45]res://textures/icons/R.png[/img], [img=45]res://textures/icons/T.png[/img]: Your commander loses [u]X[/u] [i][color=#34343A](X is the number of cards in your hand.)[/color][/i] loyalty. Draw a card.[/p]</v>
      </c>
      <c r="W51" s="4" t="str">
        <f t="shared" si="1"/>
        <v>[i]Asset[/i]</v>
      </c>
      <c r="X51" s="4" t="str">
        <f t="shared" si="2"/>
        <v>RT_RU_015</v>
      </c>
    </row>
    <row r="52" ht="89.25" outlineLevel="1">
      <c r="A52" s="1" t="s">
        <v>247</v>
      </c>
      <c r="B52" s="4" t="s">
        <v>248</v>
      </c>
      <c r="C52" s="5" t="s">
        <v>249</v>
      </c>
      <c r="D52" s="6" t="str">
        <f>IFERROR(__xludf.DUMMYFUNCTION("IF(ISBLANK(A52),"""",SWITCH(IF(T52="""",0,COUNTA(SPLIT(T52,"" ""))),0,""Generic"",1,TRIM(T52),2,""Multicolor"",3,""Multicolor"",4,""Multicolor"",5,""Multicolor"",6,""Multicolor"",7,""Multicolor"",8,""Multicolor""))"),"Red")</f>
        <v>Red</v>
      </c>
      <c r="E52" s="4" t="s">
        <v>51</v>
      </c>
      <c r="F52" s="4" t="s">
        <v>26</v>
      </c>
      <c r="G52" s="4" t="s">
        <v>250</v>
      </c>
      <c r="H52" s="5" t="s">
        <v>129</v>
      </c>
      <c r="I52" s="7" t="s">
        <v>251</v>
      </c>
      <c r="J52" s="4"/>
      <c r="K52" s="8">
        <v>2</v>
      </c>
      <c r="L52" s="8">
        <v>4</v>
      </c>
      <c r="O52" s="3"/>
      <c r="Q52" s="1">
        <v>60</v>
      </c>
      <c r="R52" s="1">
        <v>35</v>
      </c>
      <c r="S52" s="4" t="str">
        <f t="shared" si="0"/>
        <v>True</v>
      </c>
      <c r="T52" s="4" t="str">
        <f>IFERROR(__xludf.DUMMYFUNCTION("CONCATENATE(if(REGEXMATCH(C52,""R""),"" Red"",""""),if(REGEXMATCH(C52,""O""),"" Orange"",""""),if(REGEXMATCH(C52,""Y""),"" Yellow"",""""),if(REGEXMATCH(C52,""G""),"" Green"",""""),if(REGEXMATCH(C52,""B""),"" Blue"",""""),if(REGEXMATCH(C52,""P""),"" Purple"&amp;""",""""))")," Red")</f>
        <v>Red</v>
      </c>
      <c r="U52" s="4" t="str">
        <f>IFERROR(__xludf.DUMMYFUNCTION("TRIM(CONCAT(""[right]"", REGEXREPLACE(C52, ""([ROYGBPXZC_]|1?[0-9])"", ""[img=119]res://textures/icons/$0.png[/img]\\n"")))"),"[right][img=119]res://textures/icons/R.png[/img]\n[img=119]res://textures/icons/R.png[/img]\n[img=119]res://textures/icons/R.png[/img]\n")</f>
        <v>[right][img=119]res://textures/icons/R.png[/img]\n[img=119]res://textures/icons/R.png[/img]\n[img=119]res://textures/icons/R.png[/img]\n</v>
      </c>
      <c r="V52" s="4" t="str">
        <f>IFERROR(__xludf.DUMMYFUNCTION("SUBSTITUTE(SUBSTITUTE(SUBSTITUTE(SUBSTITUTE(REGEXREPLACE(SUBSTITUTE(SUBSTITUTE(SUBSTITUTE(SUBSTITUTE(REGEXREPLACE(I52, ""(\[([ROYGBPTQUXZC_]|1?[0-9])\])"", ""[img=45]res://textures/icons/$2.png[/img]""),""--"",""—""),""-&gt;"",""•""),""~@"", CONCATENATE(""[i"&amp;"]"",REGEXEXTRACT(B52,""^([\s\S]*),|$""),""[/i]"")),""~"", CONCATENATE(""[i]"",B52,""[/i]"")),""(\([\s\S]*?\))"",""[i][color=#34343A]$0[/color][/i]""), ""&lt;"", ""[""), ""&gt;"", ""]""), ""[/p][p]"", ""[font_size=15]\n\n[/font_size]""), ""[br/]"", ""\n"")"),"[center][u]Permanence[/u] [i][color=#34343A](Damage [i]Plague Engineer[/i] deals permanently reduces the health of the assets which it damages.)[/color][/i], [u]Warrant[/u] [i][color=#34343A](When you deploy [i]Plague Engineer[/i], shuffle an 'Incarcerati"&amp;"on' into your deck.)[/color][/i][/center][p]When [i]Plague Engineer[/i] enters the battlefield, create a [u]transient[/u] [i][color=#34343A](If it would enter a discard, instead remove it from the game.)[/color][/i] [i]'Engineered Plague'[/i] in your hand"&amp;".[/p]")</f>
        <v xml:space="preserve">[center][u]Permanence[/u] [i][color=#34343A](Damage [i]Plague Engineer[/i] deals permanently reduces the health of the assets which it damages.)[/color][/i], [u]Warrant[/u] [i][color=#34343A](When you deploy [i]Plague Engineer[/i], shuffle an 'Incarceration' into your deck.)[/color][/i][/center][p]When [i]Plague Engineer[/i] enters the battlefield, create a [u]transient[/u] [i][color=#34343A](If it would enter a discard, instead remove it from the game.)[/color][/i] [i]'Engineered Plague'[/i] in your hand.[/p]</v>
      </c>
      <c r="W52" s="4" t="str">
        <f t="shared" si="1"/>
        <v>[i]Asset[/i]</v>
      </c>
      <c r="X52" s="4" t="str">
        <f t="shared" si="2"/>
        <v>RT_RU_016</v>
      </c>
    </row>
    <row r="53" ht="51" outlineLevel="1">
      <c r="A53" s="1" t="s">
        <v>252</v>
      </c>
      <c r="B53" s="1" t="s">
        <v>253</v>
      </c>
      <c r="C53" s="2" t="s">
        <v>123</v>
      </c>
      <c r="D53" s="6" t="str">
        <f>IFERROR(__xludf.DUMMYFUNCTION("IF(EQ(A53,B53),"""",SWITCH(IF(T53="""",0,COUNTA(SPLIT(T53,"" ""))),0,""Generic"",1,TRIM(T53),2,""Multicolor"",3,""Multicolor"",4,""Multicolor"",5,""Multicolor"",6,""Multicolor"",7,""Multicolor"",8,""Multicolor""))"),"Red")</f>
        <v>Red</v>
      </c>
      <c r="E53" s="1" t="s">
        <v>51</v>
      </c>
      <c r="F53" s="1" t="s">
        <v>26</v>
      </c>
      <c r="G53" s="1" t="s">
        <v>199</v>
      </c>
      <c r="H53" s="2" t="s">
        <v>134</v>
      </c>
      <c r="I53" s="3" t="s">
        <v>254</v>
      </c>
      <c r="J53" s="3"/>
      <c r="K53" s="1">
        <v>1</v>
      </c>
      <c r="L53" s="1">
        <v>1</v>
      </c>
      <c r="O53" s="3"/>
      <c r="Q53" s="1">
        <v>60</v>
      </c>
      <c r="R53" s="1">
        <v>50</v>
      </c>
      <c r="S53" s="4" t="str">
        <f t="shared" si="0"/>
        <v>True</v>
      </c>
      <c r="T53" s="4" t="str">
        <f>IFERROR(__xludf.DUMMYFUNCTION("CONCATENATE(if(REGEXMATCH(C53,""R""),"" Red"",""""),if(REGEXMATCH(C53,""O""),"" Orange"",""""),if(REGEXMATCH(C53,""Y""),"" Yellow"",""""),if(REGEXMATCH(C53,""G""),"" Green"",""""),if(REGEXMATCH(C53,""B""),"" Blue"",""""),if(REGEXMATCH(C53,""P""),"" Purple"&amp;""",""""))")," Red")</f>
        <v>Red</v>
      </c>
      <c r="U53" s="4" t="str">
        <f>IFERROR(__xludf.DUMMYFUNCTION("TRIM(CONCAT(""[right]"", REGEXREPLACE(C53, ""([ROYGBPXZC_]|1?[0-9])"", ""[img=119]res://textures/icons/$0.png[/img]\\n"")))"),"[right][img=119]res://textures/icons/1.png[/img]\n[img=119]res://textures/icons/R.png[/img]\n")</f>
        <v>[right][img=119]res://textures/icons/1.png[/img]\n[img=119]res://textures/icons/R.png[/img]\n</v>
      </c>
      <c r="V53" s="4" t="str">
        <f>IFERROR(__xludf.DUMMYFUNCTION("SUBSTITUTE(SUBSTITUTE(SUBSTITUTE(SUBSTITUTE(REGEXREPLACE(SUBSTITUTE(SUBSTITUTE(SUBSTITUTE(SUBSTITUTE(REGEXREPLACE(I53, ""(\[([ROYGBPTQUXZC_]|1?[0-9])\])"", ""[img=45]res://textures/icons/$2.png[/img]""),""--"",""—""),""-&gt;"",""•""),""~@"", CONCATENATE(""[i"&amp;"]"",REGEXEXTRACT(B53,""^([\s\S]*),|$""),""[/i]"")),""~"", CONCATENATE(""[i]"",B53,""[/i]"")),""(\([\s\S]*?\))"",""[i][color=#34343A]$0[/color][/i]""), ""&lt;"", ""[""), ""&gt;"", ""]""), ""[/p][p]"", ""[font_size=15]\n\n[/font_size]""), ""[br/]"", ""\n"")"),"[center][u]Retribution[/u] [i][color=#34343A](When you draw [i]Test Subject[/i] as a result of taking damage, you may deploy it without paying its cost.)[/color][/i][/center][p]At the beginning of your turn, [i]Test Subject[/i] permanently gets +1/+1.[/p]")</f>
        <v xml:space="preserve">[center][u]Retribution[/u] [i][color=#34343A](When you draw [i]Test Subject[/i] as a result of taking damage, you may deploy it without paying its cost.)[/color][/i][/center][p]At the beginning of your turn, [i]Test Subject[/i] permanently gets +1/+1.[/p]</v>
      </c>
      <c r="W53" s="4" t="str">
        <f t="shared" si="1"/>
        <v>[i]Asset[/i]</v>
      </c>
      <c r="X53" s="4" t="str">
        <f t="shared" si="2"/>
        <v>RT_RC_013</v>
      </c>
    </row>
    <row r="54" ht="38.25" outlineLevel="1">
      <c r="A54" s="1" t="s">
        <v>255</v>
      </c>
      <c r="B54" s="4" t="s">
        <v>256</v>
      </c>
      <c r="C54" s="5" t="s">
        <v>182</v>
      </c>
      <c r="D54" s="6" t="str">
        <f>IFERROR(__xludf.DUMMYFUNCTION("IF(EQ(A54,B54),"""",SWITCH(IF(T54="""",0,COUNTA(SPLIT(T54,"" ""))),0,""Generic"",1,TRIM(T54),2,""Multicolor"",3,""Multicolor"",4,""Multicolor"",5,""Multicolor"",6,""Multicolor"",7,""Multicolor"",8,""Multicolor""))"),"Red")</f>
        <v>Red</v>
      </c>
      <c r="E54" s="4"/>
      <c r="F54" s="4" t="s">
        <v>33</v>
      </c>
      <c r="G54" s="4" t="s">
        <v>118</v>
      </c>
      <c r="H54" s="5" t="s">
        <v>129</v>
      </c>
      <c r="I54" s="7" t="s">
        <v>257</v>
      </c>
      <c r="J54" s="3"/>
      <c r="O54" s="3"/>
      <c r="Q54" s="1">
        <v>60</v>
      </c>
      <c r="R54" s="1">
        <v>50</v>
      </c>
      <c r="S54" s="4" t="str">
        <f t="shared" si="0"/>
        <v>False</v>
      </c>
      <c r="T54" s="4" t="str">
        <f>IFERROR(__xludf.DUMMYFUNCTION("CONCATENATE(if(REGEXMATCH(C54,""R""),"" Red"",""""),if(REGEXMATCH(C54,""O""),"" Orange"",""""),if(REGEXMATCH(C54,""Y""),"" Yellow"",""""),if(REGEXMATCH(C54,""G""),"" Green"",""""),if(REGEXMATCH(C54,""B""),"" Blue"",""""),if(REGEXMATCH(C54,""P""),"" Purple"&amp;""",""""))")," Red")</f>
        <v>Red</v>
      </c>
      <c r="U54" s="4" t="str">
        <f>IFERROR(__xludf.DUMMYFUNCTION("TRIM(CONCAT(""[right]"", REGEXREPLACE(C54, ""([ROYGBPXZC_]|1?[0-9])"", ""[img=119]res://textures/icons/$0.png[/img]\\n"")))"),"[right][img=119]res://textures/icons/R.png[/img]\n")</f>
        <v>[right][img=119]res://textures/icons/R.png[/img]\n</v>
      </c>
      <c r="V54" s="4" t="str">
        <f>IFERROR(__xludf.DUMMYFUNCTION("SUBSTITUTE(SUBSTITUTE(SUBSTITUTE(SUBSTITUTE(REGEXREPLACE(SUBSTITUTE(SUBSTITUTE(SUBSTITUTE(SUBSTITUTE(REGEXREPLACE(I54, ""(\[([ROYGBPTQUXZC_]|1?[0-9])\])"", ""[img=45]res://textures/icons/$2.png[/img]""),""--"",""—""),""-&gt;"",""•""),""~@"", CONCATENATE(""[i"&amp;"]"",REGEXEXTRACT(B54,""^([\s\S]*),|$""),""[/i]"")),""~"", CONCATENATE(""[i]"",B54,""[/i]"")),""(\([\s\S]*?\))"",""[i][color=#34343A]$0[/color][/i]""), ""&lt;"", ""[""), ""&gt;"", ""]""), ""[/p][p]"", ""[font_size=15]\n\n[/font_size]""), ""[br/]"", ""\n"")"),"Each player [u]decays the bottom 5 cards of their deck[/u] [i][color=#34343A](They put the bottom 5 cards of their deck into their discard.)[/color][/i]")</f>
        <v xml:space="preserve">Each player [u]decays the bottom 5 cards of their deck[/u] [i][color=#34343A](They put the bottom 5 cards of their deck into their discard.)[/color][/i]</v>
      </c>
      <c r="W54" s="4" t="str">
        <f t="shared" si="1"/>
        <v>[i]Effect[/i]</v>
      </c>
      <c r="X54" s="4" t="str">
        <f t="shared" si="2"/>
        <v>RT_RC_014</v>
      </c>
    </row>
    <row r="55" ht="51" outlineLevel="1">
      <c r="A55" s="1" t="s">
        <v>258</v>
      </c>
      <c r="B55" s="4" t="s">
        <v>259</v>
      </c>
      <c r="C55" s="5" t="s">
        <v>123</v>
      </c>
      <c r="D55" s="6" t="str">
        <f>IFERROR(__xludf.DUMMYFUNCTION("IF(ISBLANK(A55),"""",SWITCH(IF(T55="""",0,COUNTA(SPLIT(T55,"" ""))),0,""Generic"",1,TRIM(T55),2,""Multicolor"",3,""Multicolor"",4,""Multicolor"",5,""Multicolor"",6,""Multicolor"",7,""Multicolor"",8,""Multicolor""))"),"Red")</f>
        <v>Red</v>
      </c>
      <c r="E55" s="4"/>
      <c r="F55" s="4" t="s">
        <v>33</v>
      </c>
      <c r="G55" s="4"/>
      <c r="H55" s="5" t="s">
        <v>44</v>
      </c>
      <c r="I55" s="7" t="s">
        <v>260</v>
      </c>
      <c r="J55" s="3"/>
      <c r="O55" s="3"/>
      <c r="Q55" s="1">
        <v>60</v>
      </c>
      <c r="R55" s="1">
        <v>50</v>
      </c>
      <c r="S55" s="4" t="str">
        <f t="shared" si="0"/>
        <v>False</v>
      </c>
      <c r="T55" s="4" t="str">
        <f>IFERROR(__xludf.DUMMYFUNCTION("CONCATENATE(if(REGEXMATCH(C55,""R""),"" Red"",""""),if(REGEXMATCH(C55,""O""),"" Orange"",""""),if(REGEXMATCH(C55,""Y""),"" Yellow"",""""),if(REGEXMATCH(C55,""G""),"" Green"",""""),if(REGEXMATCH(C55,""B""),"" Blue"",""""),if(REGEXMATCH(C55,""P""),"" Purple"&amp;""",""""))")," Red")</f>
        <v>Red</v>
      </c>
      <c r="U55" s="4" t="str">
        <f>IFERROR(__xludf.DUMMYFUNCTION("TRIM(CONCAT(""[right]"", REGEXREPLACE(C55, ""([ROYGBPXZC_]|1?[0-9])"", ""[img=119]res://textures/icons/$0.png[/img]\\n"")))"),"[right][img=119]res://textures/icons/1.png[/img]\n[img=119]res://textures/icons/R.png[/img]\n")</f>
        <v>[right][img=119]res://textures/icons/1.png[/img]\n[img=119]res://textures/icons/R.png[/img]\n</v>
      </c>
      <c r="V55" s="4" t="str">
        <f>IFERROR(__xludf.DUMMYFUNCTION("SUBSTITUTE(SUBSTITUTE(SUBSTITUTE(SUBSTITUTE(REGEXREPLACE(SUBSTITUTE(SUBSTITUTE(SUBSTITUTE(SUBSTITUTE(REGEXREPLACE(I55, ""(\[([ROYGBPTQUXZC_]|1?[0-9])\])"", ""[img=45]res://textures/icons/$2.png[/img]""),""--"",""—""),""-&gt;"",""•""),""~@"", CONCATENATE(""[i"&amp;"]"",REGEXEXTRACT(B55,""^([\s\S]*),|$""),""[/i]"")),""~"", CONCATENATE(""[i]"",B55,""[/i]"")),""(\([\s\S]*?\))"",""[i][color=#34343A]$0[/color][/i]""), ""&lt;"", ""[""), ""&gt;"", ""]""), ""[/p][p]"", ""[font_size=15]\n\n[/font_size]""), ""[br/]"", ""\n"")"),"[center][i]Engineered Plague[/i] costs [img=45]res://textures/icons/1.png[/img] less to deploy if you didn't go first.[/center][p]Choose a combatant; until end of turn, it gets [u]-X/-X[/u] [i][color=#34343A](X is 1 plus the number of cards named [i]Engin"&amp;"eered Plague[/i] that have been deployed this game.)[/color][/i][/p]")</f>
        <v xml:space="preserve">[center][i]Engineered Plague[/i] costs [img=45]res://textures/icons/1.png[/img] less to deploy if you didn't go first.[/center][p]Choose a combatant; until end of turn, it gets [u]-X/-X[/u] [i][color=#34343A](X is 1 plus the number of cards named [i]Engineered Plague[/i] that have been deployed this game.)[/color][/i][/p]</v>
      </c>
      <c r="W55" s="4" t="str">
        <f t="shared" si="1"/>
        <v>[i]Effect[/i]</v>
      </c>
      <c r="X55" s="4" t="str">
        <f t="shared" si="2"/>
        <v>RT_RC_015</v>
      </c>
    </row>
    <row r="56" ht="25.5" outlineLevel="1">
      <c r="A56" s="1" t="s">
        <v>261</v>
      </c>
      <c r="B56" s="1" t="s">
        <v>262</v>
      </c>
      <c r="C56" s="2" t="s">
        <v>86</v>
      </c>
      <c r="D56" s="6" t="str">
        <f>IFERROR(__xludf.DUMMYFUNCTION("IF(EQ(A56,B56),"""",SWITCH(IF(T56="""",0,COUNTA(SPLIT(T56,"" ""))),0,""Generic"",1,TRIM(T56),2,""Multicolor"",3,""Multicolor"",4,""Multicolor"",5,""Multicolor"",6,""Multicolor"",7,""Multicolor"",8,""Multicolor""))"),"Red")</f>
        <v>Red</v>
      </c>
      <c r="E56" s="1"/>
      <c r="F56" s="1" t="s">
        <v>33</v>
      </c>
      <c r="G56" s="1" t="s">
        <v>223</v>
      </c>
      <c r="H56" s="2" t="s">
        <v>32</v>
      </c>
      <c r="I56" s="3" t="s">
        <v>263</v>
      </c>
      <c r="J56" s="3"/>
      <c r="O56" s="3"/>
      <c r="Q56" s="1">
        <v>45</v>
      </c>
      <c r="R56" s="1">
        <v>50</v>
      </c>
      <c r="S56" s="4" t="str">
        <f t="shared" si="0"/>
        <v>False</v>
      </c>
      <c r="T56" s="4" t="str">
        <f>IFERROR(__xludf.DUMMYFUNCTION("CONCATENATE(if(REGEXMATCH(C56,""R""),"" Red"",""""),if(REGEXMATCH(C56,""O""),"" Orange"",""""),if(REGEXMATCH(C56,""Y""),"" Yellow"",""""),if(REGEXMATCH(C56,""G""),"" Green"",""""),if(REGEXMATCH(C56,""B""),"" Blue"",""""),if(REGEXMATCH(C56,""P""),"" Purple"&amp;""",""""))")," Red")</f>
        <v>Red</v>
      </c>
      <c r="U56" s="4" t="str">
        <f>IFERROR(__xludf.DUMMYFUNCTION("TRIM(CONCAT(""[right]"", REGEXREPLACE(C56, ""([ROYGBPXZC_]|1?[0-9])"", ""[img=119]res://textures/icons/$0.png[/img]\\n"")))"),"[right][img=119]res://textures/icons/1.png[/img]\n[img=119]res://textures/icons/R.png[/img]\n[img=119]res://textures/icons/R.png[/img]\n")</f>
        <v>[right][img=119]res://textures/icons/1.png[/img]\n[img=119]res://textures/icons/R.png[/img]\n[img=119]res://textures/icons/R.png[/img]\n</v>
      </c>
      <c r="V56" s="4" t="str">
        <f>IFERROR(__xludf.DUMMYFUNCTION("SUBSTITUTE(SUBSTITUTE(SUBSTITUTE(SUBSTITUTE(REGEXREPLACE(SUBSTITUTE(SUBSTITUTE(SUBSTITUTE(SUBSTITUTE(REGEXREPLACE(I56, ""(\[([ROYGBPTQUXZC_]|1?[0-9])\])"", ""[img=45]res://textures/icons/$2.png[/img]""),""--"",""—""),""-&gt;"",""•""),""~@"", CONCATENATE(""[i"&amp;"]"",REGEXEXTRACT(B56,""^([\s\S]*),|$""),""[/i]"")),""~"", CONCATENATE(""[i]"",B56,""[/i]"")),""(\([\s\S]*?\))"",""[i][color=#34343A]$0[/color][/i]""), ""&lt;"", ""[""), ""&gt;"", ""]""), ""[/p][p]"", ""[font_size=15]\n\n[/font_size]""), ""[br/]"", ""\n"")"),"Choose a combatant; until end of turn, it gets [u]-X/-X[/u] [i][color=#34343A](X is its attack power.)[/color][/i]")</f>
        <v xml:space="preserve">Choose a combatant; until end of turn, it gets [u]-X/-X[/u] [i][color=#34343A](X is its attack power.)[/color][/i]</v>
      </c>
      <c r="W56" s="4" t="str">
        <f t="shared" si="1"/>
        <v>[i]Effect[/i]</v>
      </c>
      <c r="X56" s="4" t="str">
        <f t="shared" si="2"/>
        <v>RT_RC_016</v>
      </c>
    </row>
    <row r="57" ht="63.75" outlineLevel="1">
      <c r="A57" s="1" t="s">
        <v>264</v>
      </c>
      <c r="B57" s="1" t="s">
        <v>265</v>
      </c>
      <c r="C57" s="2" t="s">
        <v>182</v>
      </c>
      <c r="D57" s="6" t="str">
        <f>IFERROR(__xludf.DUMMYFUNCTION("IF(EQ(A45,B57),"""",SWITCH(IF(T45="""",0,COUNTA(SPLIT(T45,"" ""))),0,""Generic"",1,TRIM(T45),2,""Multicolor"",3,""Multicolor"",4,""Multicolor"",5,""Multicolor"",6,""Multicolor"",7,""Multicolor"",8,""Multicolor""))"),"Red")</f>
        <v>Red</v>
      </c>
      <c r="E57" s="1"/>
      <c r="F57" s="1" t="s">
        <v>33</v>
      </c>
      <c r="G57" s="1" t="s">
        <v>223</v>
      </c>
      <c r="H57" s="2" t="s">
        <v>129</v>
      </c>
      <c r="I57" s="3" t="s">
        <v>266</v>
      </c>
      <c r="J57" s="3"/>
      <c r="O57" s="3"/>
      <c r="Q57" s="1">
        <v>60</v>
      </c>
      <c r="R57" s="1">
        <v>50</v>
      </c>
      <c r="S57" s="4" t="str">
        <f t="shared" si="0"/>
        <v>False</v>
      </c>
      <c r="T57" s="4" t="str">
        <f>IFERROR(__xludf.DUMMYFUNCTION("CONCATENATE(if(REGEXMATCH(C57,""R""),"" Red"",""""),if(REGEXMATCH(C57,""O""),"" Orange"",""""),if(REGEXMATCH(C57,""Y""),"" Yellow"",""""),if(REGEXMATCH(C57,""G""),"" Green"",""""),if(REGEXMATCH(C57,""B""),"" Blue"",""""),if(REGEXMATCH(C57,""P""),"" Purple"&amp;""",""""))")," Red")</f>
        <v>Red</v>
      </c>
      <c r="U57" s="4" t="str">
        <f>IFERROR(__xludf.DUMMYFUNCTION("TRIM(CONCAT(""[right]"", REGEXREPLACE(C57, ""([ROYGBPXZC_]|1?[0-9])"", ""[img=119]res://textures/icons/$0.png[/img]\\n"")))"),"[right][img=119]res://textures/icons/R.png[/img]\n")</f>
        <v>[right][img=119]res://textures/icons/R.png[/img]\n</v>
      </c>
      <c r="V57" s="4" t="str">
        <f>IFERROR(__xludf.DUMMYFUNCTION("SUBSTITUTE(SUBSTITUTE(SUBSTITUTE(SUBSTITUTE(REGEXREPLACE(SUBSTITUTE(SUBSTITUTE(SUBSTITUTE(SUBSTITUTE(REGEXREPLACE(I57, ""(\[([ROYGBPTQUXZC_]|1?[0-9])\])"", ""[img=45]res://textures/icons/$2.png[/img]""),""--"",""—""),""-&gt;"",""•""),""~@"", CONCATENATE(""[i"&amp;"]"",REGEXEXTRACT(B57,""^([\s\S]*),|$""),""[/i]"")),""~"", CONCATENATE(""[i]"",B57,""[/i]"")),""(\([\s\S]*?\))"",""[i][color=#34343A]$0[/color][/i]""), ""&lt;"", ""[""), ""&gt;"", ""]""), ""[/p][p]"", ""[font_size=15]\n\n[/font_size]""), ""[br/]"", ""\n"")"),"[center][u]Append to Experiment [img=45]res://textures/icons/R.png[/img][img=45]res://textures/icons/R.png[/img][/u] [i][color=#34343A](As you deploy a card with Experiment you may reveal [i]Mortal Reaction[/i] and pay [img=45]res://textures/icons/R.png[/"&amp;"img][img=45]res://textures/icons/R.png[/img]. If you do, add this card's effects as it resolves.)[/color][/i][/center][p]Choose a combatant, and activate any of its on death effects.[/p]")</f>
        <v xml:space="preserve">[center][u]Append to Experiment [img=45]res://textures/icons/R.png[/img][img=45]res://textures/icons/R.png[/img][/u] [i][color=#34343A](As you deploy a card with Experiment you may reveal [i]Mortal Reaction[/i] and pay [img=45]res://textures/icons/R.png[/img][img=45]res://textures/icons/R.png[/img]. If you do, add this card's effects as it resolves.)[/color][/i][/center][p]Choose a combatant, and activate any of its on death effects.[/p]</v>
      </c>
      <c r="W57" s="4" t="str">
        <f t="shared" si="1"/>
        <v>[i]Effect[/i]</v>
      </c>
      <c r="X57" s="4" t="str">
        <f t="shared" si="2"/>
        <v>RT_RC_017</v>
      </c>
    </row>
    <row r="58" ht="51" outlineLevel="1">
      <c r="A58" s="1" t="s">
        <v>267</v>
      </c>
      <c r="B58" s="1" t="s">
        <v>268</v>
      </c>
      <c r="C58" s="2" t="s">
        <v>182</v>
      </c>
      <c r="D58" s="6" t="str">
        <f>IFERROR(__xludf.DUMMYFUNCTION("IF(EQ(A46,B58),"""",SWITCH(IF(T46="""",0,COUNTA(SPLIT(T46,"" ""))),0,""Generic"",1,TRIM(T46),2,""Multicolor"",3,""Multicolor"",4,""Multicolor"",5,""Multicolor"",6,""Multicolor"",7,""Multicolor"",8,""Multicolor""))"),"Red")</f>
        <v>Red</v>
      </c>
      <c r="E58" s="1"/>
      <c r="F58" s="1" t="s">
        <v>26</v>
      </c>
      <c r="G58" s="1" t="s">
        <v>269</v>
      </c>
      <c r="H58" s="2" t="s">
        <v>129</v>
      </c>
      <c r="I58" s="3" t="s">
        <v>270</v>
      </c>
      <c r="J58" s="3"/>
      <c r="O58" s="3"/>
      <c r="Q58" s="1">
        <v>60</v>
      </c>
      <c r="R58" s="1">
        <v>50</v>
      </c>
      <c r="S58" s="4" t="str">
        <f t="shared" si="0"/>
        <v>False</v>
      </c>
      <c r="T58" s="4" t="str">
        <f>IFERROR(__xludf.DUMMYFUNCTION("CONCATENATE(if(REGEXMATCH(C58,""R""),"" Red"",""""),if(REGEXMATCH(C58,""O""),"" Orange"",""""),if(REGEXMATCH(C58,""Y""),"" Yellow"",""""),if(REGEXMATCH(C58,""G""),"" Green"",""""),if(REGEXMATCH(C58,""B""),"" Blue"",""""),if(REGEXMATCH(C58,""P""),"" Purple"&amp;""",""""))")," Red")</f>
        <v>Red</v>
      </c>
      <c r="U58" s="4" t="str">
        <f>IFERROR(__xludf.DUMMYFUNCTION("TRIM(CONCAT(""[right]"", REGEXREPLACE(C58, ""([ROYGBPXZC_]|1?[0-9])"", ""[img=119]res://textures/icons/$0.png[/img]\\n"")))"),"[right][img=119]res://textures/icons/R.png[/img]\n")</f>
        <v>[right][img=119]res://textures/icons/R.png[/img]\n</v>
      </c>
      <c r="V58" s="4" t="str">
        <f>IFERROR(__xludf.DUMMYFUNCTION("SUBSTITUTE(SUBSTITUTE(SUBSTITUTE(SUBSTITUTE(REGEXREPLACE(SUBSTITUTE(SUBSTITUTE(SUBSTITUTE(SUBSTITUTE(REGEXREPLACE(I58, ""(\[([ROYGBPTQUXZC_]|1?[0-9])\])"", ""[img=45]res://textures/icons/$2.png[/img]""),""--"",""—""),""-&gt;"",""•""),""~@"", CONCATENATE(""[i"&amp;"]"",REGEXEXTRACT(B58,""^([\s\S]*),|$""),""[/i]"")),""~"", CONCATENATE(""[i]"",B58,""[/i]"")),""(\([\s\S]*?\))"",""[i][color=#34343A]$0[/color][/i]""), ""&lt;"", ""[""), ""&gt;"", ""]""), ""[/p][p]"", ""[font_size=15]\n\n[/font_size]""), ""[br/]"", ""\n"")"),"[u]Forfeit[/u] [i][color=#34343A](Put the specified card into its owner's discard.)[/color][/i] [i]Adrenochrome[/i]: Choose an asset; it permanently gets [u]+X/+X[/u] [i][color=#34343A](X is the number of combatants [i]Adrenochrome[/i] has seen die while "&amp;"it was on the battlefield.)[/color][/i]")</f>
        <v xml:space="preserve">[u]Forfeit[/u] [i][color=#34343A](Put the specified card into its owner's discard.)[/color][/i] [i]Adrenochrome[/i]: Choose an asset; it permanently gets [u]+X/+X[/u] [i][color=#34343A](X is the number of combatants [i]Adrenochrome[/i] has seen die while it was on the battlefield.)[/color][/i]</v>
      </c>
      <c r="W58" s="4" t="str">
        <f t="shared" si="1"/>
        <v>[i]Asset[/i]</v>
      </c>
      <c r="X58" s="4" t="str">
        <f t="shared" si="2"/>
        <v>RT_RC_018</v>
      </c>
    </row>
    <row r="59" outlineLevel="1">
      <c r="A59" s="1" t="s">
        <v>271</v>
      </c>
      <c r="B59" s="1" t="s">
        <v>272</v>
      </c>
      <c r="C59" s="2" t="s">
        <v>123</v>
      </c>
      <c r="D59" s="6" t="str">
        <f>IFERROR(__xludf.DUMMYFUNCTION("IF(EQ(A59,B59),"""",SWITCH(IF(T59="""",0,COUNTA(SPLIT(T59,"" ""))),0,""Generic"",1,TRIM(T59),2,""Multicolor"",3,""Multicolor"",4,""Multicolor"",5,""Multicolor"",6,""Multicolor"",7,""Multicolor"",8,""Multicolor""))"),"Red")</f>
        <v>Red</v>
      </c>
      <c r="E59" s="1" t="s">
        <v>51</v>
      </c>
      <c r="F59" s="1" t="s">
        <v>26</v>
      </c>
      <c r="G59" s="1" t="s">
        <v>273</v>
      </c>
      <c r="H59" s="2" t="s">
        <v>50</v>
      </c>
      <c r="I59" s="3"/>
      <c r="J59" s="3"/>
      <c r="K59" s="1">
        <v>4</v>
      </c>
      <c r="L59" s="1">
        <v>4</v>
      </c>
      <c r="O59" s="3"/>
      <c r="Q59" s="1">
        <v>60</v>
      </c>
      <c r="R59" s="1">
        <v>50</v>
      </c>
      <c r="S59" s="4" t="str">
        <f t="shared" si="0"/>
        <v>True</v>
      </c>
      <c r="T59" s="4" t="str">
        <f>IFERROR(__xludf.DUMMYFUNCTION("CONCATENATE(if(REGEXMATCH(C59,""R""),"" Red"",""""),if(REGEXMATCH(C59,""O""),"" Orange"",""""),if(REGEXMATCH(C59,""Y""),"" Yellow"",""""),if(REGEXMATCH(C59,""G""),"" Green"",""""),if(REGEXMATCH(C59,""B""),"" Blue"",""""),if(REGEXMATCH(C59,""P""),"" Purple"&amp;""",""""))")," Red")</f>
        <v>Red</v>
      </c>
      <c r="U59" s="4" t="str">
        <f>IFERROR(__xludf.DUMMYFUNCTION("TRIM(CONCAT(""[right]"", REGEXREPLACE(C59, ""([ROYGBPXZC_]|1?[0-9])"", ""[img=119]res://textures/icons/$0.png[/img]\\n"")))"),"[right][img=119]res://textures/icons/1.png[/img]\n[img=119]res://textures/icons/R.png[/img]\n")</f>
        <v>[right][img=119]res://textures/icons/1.png[/img]\n[img=119]res://textures/icons/R.png[/img]\n</v>
      </c>
      <c r="V59" s="4" t="str">
        <f>IFERROR(__xludf.DUMMYFUNCTION("SUBSTITUTE(SUBSTITUTE(SUBSTITUTE(SUBSTITUTE(REGEXREPLACE(SUBSTITUTE(SUBSTITUTE(SUBSTITUTE(SUBSTITUTE(REGEXREPLACE(I59, ""(\[([ROYGBPTQUXZC_]|1?[0-9])\])"", ""[img=45]res://textures/icons/$2.png[/img]""),""--"",""—""),""-&gt;"",""•""),""~@"", CONCATENATE(""[i"&amp;"]"",REGEXEXTRACT(B59,""^([\s\S]*),|$""),""[/i]"")),""~"", CONCATENATE(""[i]"",B59,""[/i]"")),""(\([\s\S]*?\))"",""[i][color=#34343A]$0[/color][/i]""), ""&lt;"", ""[""), ""&gt;"", ""]""), ""[/p][p]"", ""[font_size=15]\n\n[/font_size]""), ""[br/]"", ""\n"")"),"")</f>
        <v/>
      </c>
      <c r="W59" s="4" t="str">
        <f t="shared" si="1"/>
        <v>[i]Asset[/i]</v>
      </c>
      <c r="X59" s="4" t="str">
        <f t="shared" si="2"/>
        <v>RT_RC_019</v>
      </c>
    </row>
    <row r="60" ht="51" outlineLevel="1">
      <c r="A60" s="1" t="s">
        <v>274</v>
      </c>
      <c r="B60" s="1" t="s">
        <v>275</v>
      </c>
      <c r="C60" s="2" t="s">
        <v>86</v>
      </c>
      <c r="D60" s="6" t="str">
        <f>IFERROR(__xludf.DUMMYFUNCTION("IF(EQ(A60,B60),"""",SWITCH(IF(T60="""",0,COUNTA(SPLIT(T60,"" ""))),0,""Generic"",1,TRIM(T60),2,""Multicolor"",3,""Multicolor"",4,""Multicolor"",5,""Multicolor"",6,""Multicolor"",7,""Multicolor"",8,""Multicolor""))"),"Red")</f>
        <v>Red</v>
      </c>
      <c r="E60" s="1" t="s">
        <v>51</v>
      </c>
      <c r="F60" s="1" t="s">
        <v>26</v>
      </c>
      <c r="G60" s="1" t="s">
        <v>276</v>
      </c>
      <c r="H60" s="2" t="s">
        <v>50</v>
      </c>
      <c r="I60" s="11" t="s">
        <v>242</v>
      </c>
      <c r="J60" s="3" t="s">
        <v>277</v>
      </c>
      <c r="K60" s="1">
        <v>4</v>
      </c>
      <c r="L60" s="1">
        <v>4</v>
      </c>
      <c r="O60" s="3"/>
      <c r="Q60" s="1">
        <v>60</v>
      </c>
      <c r="R60" s="1">
        <v>35</v>
      </c>
      <c r="S60" s="4" t="str">
        <f t="shared" si="0"/>
        <v>True</v>
      </c>
      <c r="T60" s="4" t="str">
        <f>IFERROR(__xludf.DUMMYFUNCTION("CONCATENATE(if(REGEXMATCH(C60,""R""),"" Red"",""""),if(REGEXMATCH(C60,""O""),"" Orange"",""""),if(REGEXMATCH(C60,""Y""),"" Yellow"",""""),if(REGEXMATCH(C60,""G""),"" Green"",""""),if(REGEXMATCH(C60,""B""),"" Blue"",""""),if(REGEXMATCH(C60,""P""),"" Purple"&amp;""",""""))")," Red")</f>
        <v>Red</v>
      </c>
      <c r="U60" s="4" t="str">
        <f>IFERROR(__xludf.DUMMYFUNCTION("TRIM(CONCAT(""[right]"", REGEXREPLACE(C60, ""([ROYGBPXZC_]|1?[0-9])"", ""[img=119]res://textures/icons/$0.png[/img]\\n"")))"),"[right][img=119]res://textures/icons/1.png[/img]\n[img=119]res://textures/icons/R.png[/img]\n[img=119]res://textures/icons/R.png[/img]\n")</f>
        <v>[right][img=119]res://textures/icons/1.png[/img]\n[img=119]res://textures/icons/R.png[/img]\n[img=119]res://textures/icons/R.png[/img]\n</v>
      </c>
      <c r="V60" s="4" t="str">
        <f>IFERROR(__xludf.DUMMYFUNCTION("SUBSTITUTE(SUBSTITUTE(SUBSTITUTE(SUBSTITUTE(REGEXREPLACE(SUBSTITUTE(SUBSTITUTE(SUBSTITUTE(SUBSTITUTE(REGEXREPLACE(I60, ""(\[([ROYGBPTQUXZC_]|1?[0-9])\])"", ""[img=45]res://textures/icons/$2.png[/img]""),""--"",""—""),""-&gt;"",""•""),""~@"", CONCATENATE(""[i"&amp;"]"",REGEXEXTRACT(B60,""^([\s\S]*),|$""),""[/i]"")),""~"", CONCATENATE(""[i]"",B60,""[/i]"")),""(\([\s\S]*?\))"",""[i][color=#34343A]$0[/color][/i]""), ""&lt;"", ""[""), ""&gt;"", ""]""), ""[/p][p]"", ""[font_size=15]\n\n[/font_size]""), ""[br/]"", ""\n"")"),"[center][u]Permanence[/u] [i][color=#34343A](Damage [i]Prototype Catgirl[/i] deals permanently reduces the health of the assets which it damages.)[/color][/i][/center]")</f>
        <v xml:space="preserve">[center][u]Permanence[/u] [i][color=#34343A](Damage [i]Prototype Catgirl[/i] deals permanently reduces the health of the assets which it damages.)[/color][/i][/center]</v>
      </c>
      <c r="W60" s="4" t="str">
        <f t="shared" si="1"/>
        <v>[i]Asset[/i]</v>
      </c>
      <c r="X60" s="4" t="str">
        <f t="shared" si="2"/>
        <v>RT_RC_020</v>
      </c>
    </row>
    <row r="61" ht="25.5" outlineLevel="1">
      <c r="A61" s="1" t="s">
        <v>278</v>
      </c>
      <c r="B61" s="1" t="s">
        <v>279</v>
      </c>
      <c r="C61" s="2" t="s">
        <v>280</v>
      </c>
      <c r="D61" s="6" t="str">
        <f>IFERROR(__xludf.DUMMYFUNCTION("IF(EQ(A61,B61),"""",SWITCH(IF(T61="""",0,COUNTA(SPLIT(T61,"" ""))),0,""Generic"",1,TRIM(T61),2,""Multicolor"",3,""Multicolor"",4,""Multicolor"",5,""Multicolor"",6,""Multicolor"",7,""Multicolor"",8,""Multicolor""))"),"Multicolor")</f>
        <v>Multicolor</v>
      </c>
      <c r="E61" s="1"/>
      <c r="F61" s="1" t="s">
        <v>33</v>
      </c>
      <c r="G61" s="1" t="s">
        <v>281</v>
      </c>
      <c r="H61" s="2" t="s">
        <v>134</v>
      </c>
      <c r="I61" s="3" t="s">
        <v>282</v>
      </c>
      <c r="J61" s="3"/>
      <c r="O61" s="3"/>
      <c r="Q61" s="1">
        <v>60</v>
      </c>
      <c r="R61" s="1">
        <v>50</v>
      </c>
      <c r="S61" s="4" t="str">
        <f t="shared" si="0"/>
        <v>False</v>
      </c>
      <c r="T61" s="4" t="str">
        <f>IFERROR(__xludf.DUMMYFUNCTION("CONCATENATE(if(REGEXMATCH(C61,""R""),"" Red"",""""),if(REGEXMATCH(C61,""O""),"" Orange"",""""),if(REGEXMATCH(C61,""Y""),"" Yellow"",""""),if(REGEXMATCH(C61,""G""),"" Green"",""""),if(REGEXMATCH(C61,""B""),"" Blue"",""""),if(REGEXMATCH(C61,""P""),"" Purple"&amp;""",""""))")," Red Yellow")</f>
        <v xml:space="preserve">Red Yellow</v>
      </c>
      <c r="U61" s="4" t="str">
        <f>IFERROR(__xludf.DUMMYFUNCTION("TRIM(CONCAT(""[right]"", REGEXREPLACE(C61, ""([ROYGBPXZC_]|1?[0-9])"", ""[img=119]res://textures/icons/$0.png[/img]\\n"")))"),"[right][img=119]res://textures/icons/1.png[/img]\n[img=119]res://textures/icons/R.png[/img]\n[img=119]res://textures/icons/Y.png[/img]\n")</f>
        <v>[right][img=119]res://textures/icons/1.png[/img]\n[img=119]res://textures/icons/R.png[/img]\n[img=119]res://textures/icons/Y.png[/img]\n</v>
      </c>
      <c r="V61" s="4" t="str">
        <f>IFERROR(__xludf.DUMMYFUNCTION("SUBSTITUTE(SUBSTITUTE(SUBSTITUTE(SUBSTITUTE(REGEXREPLACE(SUBSTITUTE(SUBSTITUTE(SUBSTITUTE(SUBSTITUTE(REGEXREPLACE(I61, ""(\[([ROYGBPTQUXZC_]|1?[0-9])\])"", ""[img=45]res://textures/icons/$2.png[/img]""),""--"",""—""),""-&gt;"",""•""),""~@"", CONCATENATE(""[i"&amp;"]"",REGEXEXTRACT(B61,""^([\s\S]*),|$""),""[/i]"")),""~"", CONCATENATE(""[i]"",B61,""[/i]"")),""(\([\s\S]*?\))"",""[i][color=#34343A]$0[/color][/i]""), ""&lt;"", ""[""), ""&gt;"", ""]""), ""[/p][p]"", ""[font_size=15]\n\n[/font_size]""), ""[br/]"", ""\n"")"),"Choose a combatant; for the remainder of the game, at the beginning of your turn, it permanently gets +1/-1.")</f>
        <v xml:space="preserve">Choose a combatant; for the remainder of the game, at the beginning of your turn, it permanently gets +1/-1.</v>
      </c>
      <c r="W61" s="4" t="str">
        <f t="shared" si="1"/>
        <v>[i]Effect[/i]</v>
      </c>
      <c r="X61" s="4" t="str">
        <f t="shared" si="2"/>
        <v>RT_RC_021</v>
      </c>
    </row>
    <row r="62" ht="25.5" outlineLevel="1">
      <c r="A62" s="1" t="s">
        <v>283</v>
      </c>
      <c r="B62" s="1" t="s">
        <v>284</v>
      </c>
      <c r="C62" s="2" t="s">
        <v>182</v>
      </c>
      <c r="D62" s="6" t="str">
        <f>IFERROR(__xludf.DUMMYFUNCTION("IF(EQ(A62,B62),"""",SWITCH(IF(T62="""",0,COUNTA(SPLIT(T62,"" ""))),0,""Generic"",1,TRIM(T62),2,""Multicolor"",3,""Multicolor"",4,""Multicolor"",5,""Multicolor"",6,""Multicolor"",7,""Multicolor"",8,""Multicolor""))"),"Red")</f>
        <v>Red</v>
      </c>
      <c r="E62" s="1" t="s">
        <v>51</v>
      </c>
      <c r="F62" s="1" t="s">
        <v>26</v>
      </c>
      <c r="G62" s="1" t="s">
        <v>273</v>
      </c>
      <c r="H62" s="2" t="s">
        <v>32</v>
      </c>
      <c r="I62" s="3" t="s">
        <v>285</v>
      </c>
      <c r="J62" s="3"/>
      <c r="K62" s="1">
        <v>1</v>
      </c>
      <c r="L62" s="1">
        <v>2</v>
      </c>
      <c r="O62" s="3"/>
      <c r="Q62" s="1">
        <v>60</v>
      </c>
      <c r="R62" s="1">
        <v>50</v>
      </c>
      <c r="S62" s="4" t="str">
        <f t="shared" si="0"/>
        <v>True</v>
      </c>
      <c r="T62" s="4" t="str">
        <f>IFERROR(__xludf.DUMMYFUNCTION("CONCATENATE(if(REGEXMATCH(C62,""R""),"" Red"",""""),if(REGEXMATCH(C62,""O""),"" Orange"",""""),if(REGEXMATCH(C62,""Y""),"" Yellow"",""""),if(REGEXMATCH(C62,""G""),"" Green"",""""),if(REGEXMATCH(C62,""B""),"" Blue"",""""),if(REGEXMATCH(C62,""P""),"" Purple"&amp;""",""""))")," Red")</f>
        <v>Red</v>
      </c>
      <c r="U62" s="4" t="str">
        <f>IFERROR(__xludf.DUMMYFUNCTION("TRIM(CONCAT(""[right]"", REGEXREPLACE(C62, ""([ROYGBPXZC_]|1?[0-9])"", ""[img=119]res://textures/icons/$0.png[/img]\\n"")))"),"[right][img=119]res://textures/icons/R.png[/img]\n")</f>
        <v>[right][img=119]res://textures/icons/R.png[/img]\n</v>
      </c>
      <c r="V62" s="4" t="str">
        <f>IFERROR(__xludf.DUMMYFUNCTION("SUBSTITUTE(SUBSTITUTE(SUBSTITUTE(SUBSTITUTE(REGEXREPLACE(SUBSTITUTE(SUBSTITUTE(SUBSTITUTE(SUBSTITUTE(REGEXREPLACE(I62, ""(\[([ROYGBPTQUXZC_]|1?[0-9])\])"", ""[img=45]res://textures/icons/$2.png[/img]""),""--"",""—""),""-&gt;"",""•""),""~@"", CONCATENATE(""[i"&amp;"]"",REGEXEXTRACT(B62,""^([\s\S]*),|$""),""[/i]"")),""~"", CONCATENATE(""[i]"",B62,""[/i]"")),""(\([\s\S]*?\))"",""[i][color=#34343A]$0[/color][/i]""), ""&lt;"", ""[""), ""&gt;"", ""]""), ""[/p][p]"", ""[font_size=15]\n\n[/font_size]""), ""[br/]"", ""\n"")"),"While you have 10 or more cards in your discard, [i]Dumpster Diver[/i] gets +5/+5")</f>
        <v xml:space="preserve">While you have 10 or more cards in your discard, [i]Dumpster Diver[/i] gets +5/+5</v>
      </c>
      <c r="W62" s="4" t="str">
        <f t="shared" si="1"/>
        <v>[i]Asset[/i]</v>
      </c>
      <c r="X62" s="4" t="str">
        <f t="shared" si="2"/>
        <v>RT_RC_022</v>
      </c>
    </row>
    <row r="63" outlineLevel="1">
      <c r="A63" s="1" t="s">
        <v>286</v>
      </c>
      <c r="B63" s="1" t="str">
        <f t="shared" si="3"/>
        <v>RC_023</v>
      </c>
      <c r="C63" s="2"/>
      <c r="D63" s="6" t="str">
        <f>IFERROR(__xludf.DUMMYFUNCTION("IF(EQ(A63,B63),"""",SWITCH(IF(T63="""",0,COUNTA(SPLIT(T63,"" ""))),0,""Generic"",1,TRIM(T63),2,""Multicolor"",3,""Multicolor"",4,""Multicolor"",5,""Multicolor"",6,""Multicolor"",7,""Multicolor"",8,""Multicolor""))"),"")</f>
        <v/>
      </c>
      <c r="E63" s="1"/>
      <c r="F63" s="1"/>
      <c r="H63" s="2"/>
      <c r="I63" s="3"/>
      <c r="J63" s="3"/>
      <c r="O63" s="3"/>
      <c r="Q63" s="1">
        <v>60</v>
      </c>
      <c r="R63" s="1">
        <v>50</v>
      </c>
      <c r="S63" s="4" t="str">
        <f t="shared" si="0"/>
        <v>False</v>
      </c>
      <c r="T63" s="4" t="str">
        <f>IFERROR(__xludf.DUMMYFUNCTION("CONCATENATE(if(REGEXMATCH(C63,""R""),"" Red"",""""),if(REGEXMATCH(C63,""O""),"" Orange"",""""),if(REGEXMATCH(C63,""Y""),"" Yellow"",""""),if(REGEXMATCH(C63,""G""),"" Green"",""""),if(REGEXMATCH(C63,""B""),"" Blue"",""""),if(REGEXMATCH(C63,""P""),"" Purple"&amp;""",""""))"),"")</f>
        <v/>
      </c>
      <c r="U63" s="4" t="str">
        <f>IFERROR(__xludf.DUMMYFUNCTION("TRIM(CONCAT(""[right]"", REGEXREPLACE(C63, ""([ROYGBPXZC_]|1?[0-9])"", ""[img=119]res://textures/icons/$0.png[/img]\\n"")))"),"[right]")</f>
        <v>[right]</v>
      </c>
      <c r="V63" s="4" t="str">
        <f>IFERROR(__xludf.DUMMYFUNCTION("SUBSTITUTE(SUBSTITUTE(SUBSTITUTE(SUBSTITUTE(REGEXREPLACE(SUBSTITUTE(SUBSTITUTE(SUBSTITUTE(SUBSTITUTE(REGEXREPLACE(I63, ""(\[([ROYGBPTQUXZC_]|1?[0-9])\])"", ""[img=45]res://textures/icons/$2.png[/img]""),""--"",""—""),""-&gt;"",""•""),""~@"", CONCATENATE(""[i"&amp;"]"",REGEXEXTRACT(B63,""^([\s\S]*),|$""),""[/i]"")),""~"", CONCATENATE(""[i]"",B63,""[/i]"")),""(\([\s\S]*?\))"",""[i][color=#34343A]$0[/color][/i]""), ""&lt;"", ""[""), ""&gt;"", ""]""), ""[/p][p]"", ""[font_size=15]\n\n[/font_size]""), ""[br/]"", ""\n"")"),"")</f>
        <v/>
      </c>
      <c r="W63" s="4" t="str">
        <f t="shared" si="1"/>
        <v>[i][/i]</v>
      </c>
      <c r="X63" s="4" t="str">
        <f t="shared" si="2"/>
        <v>0</v>
      </c>
    </row>
    <row r="64" outlineLevel="1">
      <c r="A64" s="1" t="s">
        <v>287</v>
      </c>
      <c r="B64" s="1" t="str">
        <f t="shared" si="3"/>
        <v>RC_024</v>
      </c>
      <c r="C64" s="2"/>
      <c r="D64" s="6" t="str">
        <f>IFERROR(__xludf.DUMMYFUNCTION("IF(EQ(A64,B64),"""",SWITCH(IF(T64="""",0,COUNTA(SPLIT(T64,"" ""))),0,""Generic"",1,TRIM(T64),2,""Multicolor"",3,""Multicolor"",4,""Multicolor"",5,""Multicolor"",6,""Multicolor"",7,""Multicolor"",8,""Multicolor""))"),"")</f>
        <v/>
      </c>
      <c r="E64" s="1"/>
      <c r="F64" s="1"/>
      <c r="H64" s="2"/>
      <c r="I64" s="3"/>
      <c r="J64" s="3"/>
      <c r="O64" s="3"/>
      <c r="Q64" s="1">
        <v>60</v>
      </c>
      <c r="R64" s="1">
        <v>50</v>
      </c>
      <c r="S64" s="4" t="str">
        <f t="shared" si="0"/>
        <v>False</v>
      </c>
      <c r="T64" s="4" t="str">
        <f>IFERROR(__xludf.DUMMYFUNCTION("CONCATENATE(if(REGEXMATCH(C64,""R""),"" Red"",""""),if(REGEXMATCH(C64,""O""),"" Orange"",""""),if(REGEXMATCH(C64,""Y""),"" Yellow"",""""),if(REGEXMATCH(C64,""G""),"" Green"",""""),if(REGEXMATCH(C64,""B""),"" Blue"",""""),if(REGEXMATCH(C64,""P""),"" Purple"&amp;""",""""))"),"")</f>
        <v/>
      </c>
      <c r="U64" s="4" t="str">
        <f>IFERROR(__xludf.DUMMYFUNCTION("TRIM(CONCAT(""[right]"", REGEXREPLACE(C64, ""([ROYGBPXZC_]|1?[0-9])"", ""[img=119]res://textures/icons/$0.png[/img]\\n"")))"),"[right]")</f>
        <v>[right]</v>
      </c>
      <c r="V64" s="4" t="str">
        <f>IFERROR(__xludf.DUMMYFUNCTION("SUBSTITUTE(SUBSTITUTE(SUBSTITUTE(SUBSTITUTE(REGEXREPLACE(SUBSTITUTE(SUBSTITUTE(SUBSTITUTE(SUBSTITUTE(REGEXREPLACE(I64, ""(\[([ROYGBPTQUXZC_]|1?[0-9])\])"", ""[img=45]res://textures/icons/$2.png[/img]""),""--"",""—""),""-&gt;"",""•""),""~@"", CONCATENATE(""[i"&amp;"]"",REGEXEXTRACT(B64,""^([\s\S]*),|$""),""[/i]"")),""~"", CONCATENATE(""[i]"",B64,""[/i]"")),""(\([\s\S]*?\))"",""[i][color=#34343A]$0[/color][/i]""), ""&lt;"", ""[""), ""&gt;"", ""]""), ""[/p][p]"", ""[font_size=15]\n\n[/font_size]""), ""[br/]"", ""\n"")"),"")</f>
        <v/>
      </c>
      <c r="W64" s="4" t="str">
        <f t="shared" si="1"/>
        <v>[i][/i]</v>
      </c>
      <c r="X64" s="4" t="str">
        <f t="shared" si="2"/>
        <v>0</v>
      </c>
    </row>
    <row r="65">
      <c r="A65" s="1" t="s">
        <v>288</v>
      </c>
      <c r="B65" s="1" t="s">
        <v>289</v>
      </c>
      <c r="C65" s="2" t="s">
        <v>290</v>
      </c>
      <c r="D65" s="6" t="str">
        <f>IFERROR(__xludf.DUMMYFUNCTION("IF(EQ(A65,B65),"""",SWITCH(IF(T65="""",0,COUNTA(SPLIT(T65,"" ""))),0,""Generic"",1,TRIM(T65),2,""Multicolor"",3,""Multicolor"",4,""Multicolor"",5,""Multicolor"",6,""Multicolor"",7,""Multicolor"",8,""Multicolor""))"),"Orange")</f>
        <v>Orange</v>
      </c>
      <c r="E65" s="1" t="s">
        <v>51</v>
      </c>
      <c r="F65" s="1" t="s">
        <v>73</v>
      </c>
      <c r="G65" s="1" t="s">
        <v>291</v>
      </c>
      <c r="H65" s="2" t="s">
        <v>81</v>
      </c>
      <c r="I65" s="3" t="s">
        <v>292</v>
      </c>
      <c r="J65" s="11" t="s">
        <v>293</v>
      </c>
      <c r="K65" s="1">
        <v>10</v>
      </c>
      <c r="L65" s="1">
        <v>6</v>
      </c>
      <c r="O65" s="3" t="s">
        <v>294</v>
      </c>
      <c r="Q65" s="1">
        <v>45</v>
      </c>
      <c r="R65" s="1">
        <v>35</v>
      </c>
      <c r="S65" s="4" t="str">
        <f t="shared" si="0"/>
        <v>True</v>
      </c>
      <c r="T65" s="4" t="str">
        <f>IFERROR(__xludf.DUMMYFUNCTION("CONCATENATE(if(REGEXMATCH(C65,""R""),"" Red"",""""),if(REGEXMATCH(C65,""O""),"" Orange"",""""),if(REGEXMATCH(C65,""Y""),"" Yellow"",""""),if(REGEXMATCH(C65,""G""),"" Green"",""""),if(REGEXMATCH(C65,""B""),"" Blue"",""""),if(REGEXMATCH(C65,""P""),"" Purple"&amp;""",""""))")," Orange")</f>
        <v>Orange</v>
      </c>
      <c r="U65" s="4" t="str">
        <f>IFERROR(__xludf.DUMMYFUNCTION("TRIM(CONCAT(""[right]"", REGEXREPLACE(C65, ""([ROYGBPXZC_]|1?[0-9])"", ""[img=119]res://textures/icons/$0.png[/img]\\n"")))"),"[right][img=119]res://textures/icons/O.png[/img]\n[img=119]res://textures/icons/O.png[/img]\n[img=119]res://textures/icons/O.png[/img]\n")</f>
        <v>[right][img=119]res://textures/icons/O.png[/img]\n[img=119]res://textures/icons/O.png[/img]\n[img=119]res://textures/icons/O.png[/img]\n</v>
      </c>
      <c r="V65" s="4" t="str">
        <f>IFERROR(__xludf.DUMMYFUNCTION("SUBSTITUTE(SUBSTITUTE(SUBSTITUTE(SUBSTITUTE(REGEXREPLACE(SUBSTITUTE(SUBSTITUTE(SUBSTITUTE(SUBSTITUTE(REGEXREPLACE(I65, ""(\[([ROYGBPTQUXZC_]|1?[0-9])\])"", ""[img=45]res://textures/icons/$2.png[/img]""),""--"",""—""),""-&gt;"",""•""),""~@"", CONCATENATE(""[i"&amp;"]"",REGEXEXTRACT(B65,""^([\s\S]*),|$""),""[/i]"")),""~"", CONCATENATE(""[i]"",B65,""[/i]"")),""(\([\s\S]*?\))"",""[i][color=#34343A]$0[/color][/i]""), ""&lt;"", ""[""), ""&gt;"", ""]""), ""[/p][p]"", ""[font_size=15]\n\n[/font_size]""), ""[br/]"", ""\n"")"),"[center][i][color=#34343A](Becomes [i]'Samuel, Falsify their Orders'[/i] if you already control [i]Samuel Reid, Political Dissident[/i].)[/color][/i]\n[u]Pierce[/u] [i][color=#34343A]([i]Samuel Reid[/i] deals combat damage greater than the combined health"&amp;" of the assets intercepting it to the commander it is attacking and bypasses armor.)[/color][/i], [u]Warrant[/u][/center][p][b][i]As Commander[/i] —[/b] Whenever an asset enters the battlefield, you may pay [img=45]res://textures/icons/1.png[/img][img=45]"&amp;"res://textures/icons/O.png[/img]. If you do it permanently gains [u]pierce[/u], [u]reckless[/u], and ranged.[/p]")</f>
        <v xml:space="preserve">[center][i][color=#34343A](Becomes [i]'Samuel, Falsify their Orders'[/i] if you already control [i]Samuel Reid, Political Dissident[/i].)[/color][/i]\n[u]Pierce[/u] [i][color=#34343A]([i]Samuel Reid[/i] deals combat damage greater than the combined health of the assets intercepting it to the commander it is attacking and bypasses armor.)[/color][/i], [u]Warrant[/u][/center][p][b][i]As Commander[/i] —[/b] Whenever an asset enters the battlefield, you may pay [img=45]res://textures/icons/1.png[/img][img=45]res://textures/icons/O.png[/img]. If you do it permanently gains [u]pierce[/u], [u]reckless[/u], and ranged.[/p]</v>
      </c>
      <c r="W65" s="4" t="str">
        <f t="shared" si="1"/>
        <v>[i]Commander[/i]</v>
      </c>
      <c r="X65" s="4" t="str">
        <f t="shared" si="2"/>
        <v>RT_O_CMDR_1</v>
      </c>
    </row>
    <row r="66" outlineLevel="1">
      <c r="A66" s="1" t="s">
        <v>295</v>
      </c>
      <c r="B66" s="1" t="s">
        <v>296</v>
      </c>
      <c r="C66" s="2" t="s">
        <v>297</v>
      </c>
      <c r="D66" s="6" t="str">
        <f>IFERROR(__xludf.DUMMYFUNCTION("IF(EQ(A66,B66),"""",SWITCH(IF(T66="""",0,COUNTA(SPLIT(T66,"" ""))),0,""Generic"",1,TRIM(T66),2,""Multicolor"",3,""Multicolor"",4,""Multicolor"",5,""Multicolor"",6,""Multicolor"",7,""Multicolor"",8,""Multicolor""))"),"Orange")</f>
        <v>Orange</v>
      </c>
      <c r="E66" s="1"/>
      <c r="F66" s="1" t="s">
        <v>87</v>
      </c>
      <c r="G66" s="1" t="s">
        <v>203</v>
      </c>
      <c r="H66" s="2" t="s">
        <v>25</v>
      </c>
      <c r="I66" s="3" t="s">
        <v>298</v>
      </c>
      <c r="K66" s="1"/>
      <c r="L66" s="1"/>
      <c r="O66" s="3"/>
      <c r="Q66" s="1">
        <v>45</v>
      </c>
      <c r="R66" s="1">
        <v>45</v>
      </c>
      <c r="S66" s="4" t="str">
        <f t="shared" ref="S66:S129" si="4">IF(ISBLANK(A66),"",IF(EQ(LEN(TRIM(K66)),0),"False","True"))</f>
        <v>False</v>
      </c>
      <c r="T66" s="4" t="str">
        <f>IFERROR(__xludf.DUMMYFUNCTION("CONCATENATE(if(REGEXMATCH(C66,""R""),"" Red"",""""),if(REGEXMATCH(C66,""O""),"" Orange"",""""),if(REGEXMATCH(C66,""Y""),"" Yellow"",""""),if(REGEXMATCH(C66,""G""),"" Green"",""""),if(REGEXMATCH(C66,""B""),"" Blue"",""""),if(REGEXMATCH(C66,""P""),"" Purple"&amp;""",""""))")," Orange")</f>
        <v>Orange</v>
      </c>
      <c r="U66" s="4" t="str">
        <f>IFERROR(__xludf.DUMMYFUNCTION("TRIM(CONCAT(""[right]"", REGEXREPLACE(C66, ""([ROYGBPXZC_]|1?[0-9])"", ""[img=119]res://textures/icons/$0.png[/img]\\n"")))"),"[right][img=119]res://textures/icons/3.png[/img]\n[img=119]res://textures/icons/O.png[/img]\n[img=119]res://textures/icons/O.png[/img]\n")</f>
        <v>[right][img=119]res://textures/icons/3.png[/img]\n[img=119]res://textures/icons/O.png[/img]\n[img=119]res://textures/icons/O.png[/img]\n</v>
      </c>
      <c r="V66" s="4" t="str">
        <f>IFERROR(__xludf.DUMMYFUNCTION("SUBSTITUTE(SUBSTITUTE(SUBSTITUTE(SUBSTITUTE(REGEXREPLACE(SUBSTITUTE(SUBSTITUTE(SUBSTITUTE(SUBSTITUTE(REGEXREPLACE(I66, ""(\[([ROYGBPTQUXZC_]|1?[0-9])\])"", ""[img=45]res://textures/icons/$2.png[/img]""),""--"",""—""),""-&gt;"",""•""),""~@"", CONCATENATE(""[i"&amp;"]"",REGEXEXTRACT(B66,""^([\s\S]*),|$""),""[/i]"")),""~"", CONCATENATE(""[i]"",B66,""[/i]"")),""(\([\s\S]*?\))"",""[i][color=#34343A]$0[/color][/i]""), ""&lt;"", ""[""), ""&gt;"", ""]""), ""[/p][p]"", ""[font_size=15]\n\n[/font_size]""), ""[br/]"", ""\n"")"),"[center][i][color=#34343A](This effect can only be deployed if you control a renowned asset. Banked energy can't be spent to deploy renowned cards.)[/color][/i][/center][p]The player whose turn it is must attack with all of their combatants, if able, this"&amp;" turn.[font_size=15]\n\n[/font_size][u]Personal[/u] [i][color=#34343A](Shuffle [i]'Samuel Reid, Political Dissident'[/i] into your deck.)[/color][/i][/p]")</f>
        <v xml:space="preserve">[center][i][color=#34343A](This effect can only be deployed if you control a renowned asset. Banked energy can't be spent to deploy renowned cards.)[/color][/i][/center][p]The player whose turn it is must attack with all of their combatants, if able, this turn.[font_size=15]\n\n[/font_size][u]Personal[/u] [i][color=#34343A](Shuffle [i]'Samuel Reid, Political Dissident'[/i] into your deck.)[/color][/i][/p]</v>
      </c>
      <c r="W66" s="4" t="str">
        <f t="shared" ref="W66:W129" si="5">CONCATENATE("[i]",F66,"[/i]")</f>
        <v xml:space="preserve">[i]R. Effect[/i]</v>
      </c>
      <c r="X66" s="4" t="str">
        <f t="shared" ref="X66:X129" si="6">IF(EQ(A66,B66),"0",CONCATENATE("RT_",A66))</f>
        <v>RT_O_CMDR_1b</v>
      </c>
    </row>
    <row r="67" outlineLevel="1">
      <c r="A67" s="1" t="s">
        <v>299</v>
      </c>
      <c r="B67" s="1" t="s">
        <v>300</v>
      </c>
      <c r="C67" s="2" t="s">
        <v>301</v>
      </c>
      <c r="D67" s="6" t="str">
        <f>IFERROR(__xludf.DUMMYFUNCTION("IF(EQ(A67,B67),"""",SWITCH(IF(T67="""",0,COUNTA(SPLIT(T67,"" ""))),0,""Generic"",1,TRIM(T67),2,""Multicolor"",3,""Multicolor"",4,""Multicolor"",5,""Multicolor"",6,""Multicolor"",7,""Multicolor"",8,""Multicolor""))"),"Orange")</f>
        <v>Orange</v>
      </c>
      <c r="E67" s="1" t="s">
        <v>51</v>
      </c>
      <c r="F67" s="1" t="s">
        <v>94</v>
      </c>
      <c r="G67" s="1" t="s">
        <v>302</v>
      </c>
      <c r="H67" s="2" t="s">
        <v>81</v>
      </c>
      <c r="I67" s="3" t="s">
        <v>303</v>
      </c>
      <c r="J67" s="3"/>
      <c r="K67" s="1">
        <v>13</v>
      </c>
      <c r="L67" s="1">
        <v>7</v>
      </c>
      <c r="O67" s="3"/>
      <c r="Q67" s="1">
        <v>45</v>
      </c>
      <c r="R67" s="1">
        <v>35</v>
      </c>
      <c r="S67" s="4" t="str">
        <f t="shared" si="4"/>
        <v>True</v>
      </c>
      <c r="T67" s="4" t="str">
        <f>IFERROR(__xludf.DUMMYFUNCTION("CONCATENATE(if(REGEXMATCH(C67,""R""),"" Red"",""""),if(REGEXMATCH(C67,""O""),"" Orange"",""""),if(REGEXMATCH(C67,""Y""),"" Yellow"",""""),if(REGEXMATCH(C67,""G""),"" Green"",""""),if(REGEXMATCH(C67,""B""),"" Blue"",""""),if(REGEXMATCH(C67,""P""),"" Purple"&amp;""",""""))")," Orange")</f>
        <v>Orange</v>
      </c>
      <c r="U67" s="4" t="str">
        <f>IFERROR(__xludf.DUMMYFUNCTION("TRIM(CONCAT(""[right]"", REGEXREPLACE(C67, ""([ROYGBPXZC_]|1?[0-9])"", ""[img=119]res://textures/icons/$0.png[/img]\\n"")))"),"[right][img=119]res://textures/icons/4.png[/img]\n[img=119]res://textures/icons/O.png[/img]\n[img=119]res://textures/icons/O.png[/img]\n[img=119]res://textures/icons/O.png[/img]\n")</f>
        <v>[right][img=119]res://textures/icons/4.png[/img]\n[img=119]res://textures/icons/O.png[/img]\n[img=119]res://textures/icons/O.png[/img]\n[img=119]res://textures/icons/O.png[/img]\n</v>
      </c>
      <c r="V67" s="4" t="str">
        <f>IFERROR(__xludf.DUMMYFUNCTION("SUBSTITUTE(SUBSTITUTE(SUBSTITUTE(SUBSTITUTE(REGEXREPLACE(SUBSTITUTE(SUBSTITUTE(SUBSTITUTE(SUBSTITUTE(REGEXREPLACE(I67, ""(\[([ROYGBPTQUXZC_]|1?[0-9])\])"", ""[img=45]res://textures/icons/$2.png[/img]""),""--"",""—""),""-&gt;"",""•""),""~@"", CONCATENATE(""[i"&amp;"]"",REGEXEXTRACT(B67,""^([\s\S]*),|$""),""[/i]"")),""~"", CONCATENATE(""[i]"",B67,""[/i]"")),""(\([\s\S]*?\))"",""[i][color=#34343A]$0[/color][/i]""), ""&lt;"", ""[""), ""&gt;"", ""]""), ""[/p][p]"", ""[font_size=15]\n\n[/font_size]""), ""[br/]"", ""\n"")"),"[center][i][color=#34343A](If you obtain another card with the same name as [i]Christen Frisk[/i], you must choose one to keep and another to send to its owner's discard. Banked energy can't be spent to deploy renowned cards. Becomes [i]'Remember the Plan"&amp;"!'[/i] if you already control [i]Christen Frisk[/i].)[/color][/i]\n[u]Reckless[/u] [i][color=#34343A]([i]Christen Frisk[/i] can't intercept.)[/color][/i][/center][p]After your opponent attacks, you may attack.[/p]")</f>
        <v xml:space="preserve">[center][i][color=#34343A](If you obtain another card with the same name as [i]Christen Frisk[/i], you must choose one to keep and another to send to its owner's discard. Banked energy can't be spent to deploy renowned cards. Becomes [i]'Remember the Plan!'[/i] if you already control [i]Christen Frisk[/i].)[/color][/i]\n[u]Reckless[/u] [i][color=#34343A]([i]Christen Frisk[/i] can't intercept.)[/color][/i][/center][p]After your opponent attacks, you may attack.[/p]</v>
      </c>
      <c r="W67" s="4" t="str">
        <f t="shared" si="5"/>
        <v xml:space="preserve">[i]R. Asset[/i]</v>
      </c>
      <c r="X67" s="4" t="str">
        <f t="shared" si="6"/>
        <v>RT_OR_001</v>
      </c>
    </row>
    <row r="68" outlineLevel="1">
      <c r="A68" s="1" t="s">
        <v>304</v>
      </c>
      <c r="B68" s="1" t="s">
        <v>305</v>
      </c>
      <c r="C68" s="2" t="s">
        <v>306</v>
      </c>
      <c r="D68" s="6" t="str">
        <f>IFERROR(__xludf.DUMMYFUNCTION("IF(EQ(A68,B68),"""",SWITCH(IF(T68="""",0,COUNTA(SPLIT(T68,"" ""))),0,""Generic"",1,TRIM(T68),2,""Multicolor"",3,""Multicolor"",4,""Multicolor"",5,""Multicolor"",6,""Multicolor"",7,""Multicolor"",8,""Multicolor""))"),"Orange")</f>
        <v>Orange</v>
      </c>
      <c r="E68" s="1"/>
      <c r="F68" s="1" t="s">
        <v>87</v>
      </c>
      <c r="G68" s="1" t="s">
        <v>203</v>
      </c>
      <c r="H68" s="2" t="s">
        <v>25</v>
      </c>
      <c r="I68" s="3" t="s">
        <v>307</v>
      </c>
      <c r="J68" s="4"/>
      <c r="K68" s="8"/>
      <c r="L68" s="8"/>
      <c r="O68" s="3"/>
      <c r="Q68" s="1">
        <v>50</v>
      </c>
      <c r="R68" s="1">
        <v>45</v>
      </c>
      <c r="S68" s="4" t="str">
        <f t="shared" si="4"/>
        <v>False</v>
      </c>
      <c r="T68" s="4" t="str">
        <f>IFERROR(__xludf.DUMMYFUNCTION("CONCATENATE(if(REGEXMATCH(C68,""R""),"" Red"",""""),if(REGEXMATCH(C68,""O""),"" Orange"",""""),if(REGEXMATCH(C68,""Y""),"" Yellow"",""""),if(REGEXMATCH(C68,""G""),"" Green"",""""),if(REGEXMATCH(C68,""B""),"" Blue"",""""),if(REGEXMATCH(C68,""P""),"" Purple"&amp;""",""""))")," Orange")</f>
        <v>Orange</v>
      </c>
      <c r="U68" s="4" t="str">
        <f>IFERROR(__xludf.DUMMYFUNCTION("TRIM(CONCAT(""[right]"", REGEXREPLACE(C68, ""([ROYGBPXZC_]|1?[0-9])"", ""[img=119]res://textures/icons/$0.png[/img]\\n"")))"),"[right][img=119]res://textures/icons/3.png[/img]\n[img=119]res://textures/icons/O.png[/img]\n")</f>
        <v>[right][img=119]res://textures/icons/3.png[/img]\n[img=119]res://textures/icons/O.png[/img]\n</v>
      </c>
      <c r="V68" s="4" t="str">
        <f>IFERROR(__xludf.DUMMYFUNCTION("SUBSTITUTE(SUBSTITUTE(SUBSTITUTE(SUBSTITUTE(REGEXREPLACE(SUBSTITUTE(SUBSTITUTE(SUBSTITUTE(SUBSTITUTE(REGEXREPLACE(I68, ""(\[([ROYGBPTQUXZC_]|1?[0-9])\])"", ""[img=45]res://textures/icons/$2.png[/img]""),""--"",""—""),""-&gt;"",""•""),""~@"", CONCATENATE(""[i"&amp;"]"",REGEXEXTRACT(B68,""^([\s\S]*),|$""),""[/i]"")),""~"", CONCATENATE(""[i]"",B68,""[/i]"")),""(\([\s\S]*?\))"",""[i][color=#34343A]$0[/color][/i]""), ""&lt;"", ""[""), ""&gt;"", ""]""), ""[/p][p]"", ""[font_size=15]\n\n[/font_size]""), ""[br/]"", ""\n"")"),"[center][i][color=#34343A](This effect can only be deployed if you control a renowned asset. Banked energy can't be spent to deploy renowned cards.)[/color][/i][/center][p]Refresh all combatants you control.[font_size=15]\n\n[/font_size][u]Personal[/u] [i"&amp;"][color=#34343A](Shuffle [i]'Christen Frisk, Delta Commander'[/i] into your deck.)[/color][/i][/p]")</f>
        <v xml:space="preserve">[center][i][color=#34343A](This effect can only be deployed if you control a renowned asset. Banked energy can't be spent to deploy renowned cards.)[/color][/i][/center][p]Refresh all combatants you control.[font_size=15]\n\n[/font_size][u]Personal[/u] [i][color=#34343A](Shuffle [i]'Christen Frisk, Delta Commander'[/i] into your deck.)[/color][/i][/p]</v>
      </c>
      <c r="W68" s="4" t="str">
        <f t="shared" si="5"/>
        <v xml:space="preserve">[i]R. Effect[/i]</v>
      </c>
      <c r="X68" s="4" t="str">
        <f t="shared" si="6"/>
        <v>RT_OR_001b</v>
      </c>
    </row>
    <row r="69" outlineLevel="1">
      <c r="A69" s="1" t="s">
        <v>308</v>
      </c>
      <c r="B69" s="4" t="s">
        <v>309</v>
      </c>
      <c r="C69" s="5" t="s">
        <v>297</v>
      </c>
      <c r="D69" s="6" t="str">
        <f>IFERROR(__xludf.DUMMYFUNCTION("IF(EQ(A69,B69),"""",SWITCH(IF(T69="""",0,COUNTA(SPLIT(T69,"" ""))),0,""Generic"",1,TRIM(T69),2,""Multicolor"",3,""Multicolor"",4,""Multicolor"",5,""Multicolor"",6,""Multicolor"",7,""Multicolor"",8,""Multicolor""))"),"Orange")</f>
        <v>Orange</v>
      </c>
      <c r="E69" s="4" t="s">
        <v>79</v>
      </c>
      <c r="F69" s="4" t="s">
        <v>26</v>
      </c>
      <c r="G69" s="4" t="s">
        <v>310</v>
      </c>
      <c r="H69" s="5" t="s">
        <v>81</v>
      </c>
      <c r="I69" s="7" t="s">
        <v>311</v>
      </c>
      <c r="J69" s="3"/>
      <c r="K69" s="1">
        <v>3</v>
      </c>
      <c r="L69" s="1">
        <v>6</v>
      </c>
      <c r="O69" s="3"/>
      <c r="Q69" s="1">
        <v>60</v>
      </c>
      <c r="R69" s="1">
        <v>35</v>
      </c>
      <c r="S69" s="4" t="str">
        <f t="shared" si="4"/>
        <v>True</v>
      </c>
      <c r="T69" s="4" t="str">
        <f>IFERROR(__xludf.DUMMYFUNCTION("CONCATENATE(if(REGEXMATCH(C69,""R""),"" Red"",""""),if(REGEXMATCH(C69,""O""),"" Orange"",""""),if(REGEXMATCH(C69,""Y""),"" Yellow"",""""),if(REGEXMATCH(C69,""G""),"" Green"",""""),if(REGEXMATCH(C69,""B""),"" Blue"",""""),if(REGEXMATCH(C69,""P""),"" Purple"&amp;""",""""))")," Orange")</f>
        <v>Orange</v>
      </c>
      <c r="U69" s="4" t="str">
        <f>IFERROR(__xludf.DUMMYFUNCTION("TRIM(CONCAT(""[right]"", REGEXREPLACE(C69, ""([ROYGBPXZC_]|1?[0-9])"", ""[img=119]res://textures/icons/$0.png[/img]\\n"")))"),"[right][img=119]res://textures/icons/3.png[/img]\n[img=119]res://textures/icons/O.png[/img]\n[img=119]res://textures/icons/O.png[/img]\n")</f>
        <v>[right][img=119]res://textures/icons/3.png[/img]\n[img=119]res://textures/icons/O.png[/img]\n[img=119]res://textures/icons/O.png[/img]\n</v>
      </c>
      <c r="V69" s="4" t="str">
        <f>IFERROR(__xludf.DUMMYFUNCTION("SUBSTITUTE(SUBSTITUTE(SUBSTITUTE(SUBSTITUTE(REGEXREPLACE(SUBSTITUTE(SUBSTITUTE(SUBSTITUTE(SUBSTITUTE(REGEXREPLACE(I69, ""(\[([ROYGBPTQUXZC_]|1?[0-9])\])"", ""[img=45]res://textures/icons/$2.png[/img]""),""--"",""—""),""-&gt;"",""•""),""~@"", CONCATENATE(""[i"&amp;"]"",REGEXEXTRACT(B69,""^([\s\S]*),|$""),""[/i]"")),""~"", CONCATENATE(""[i]"",B69,""[/i]"")),""(\([\s\S]*?\))"",""[i][color=#34343A]$0[/color][/i]""), ""&lt;"", ""[""), ""&gt;"", ""]""), ""[/p][p]"", ""[font_size=15]\n\n[/font_size]""), ""[br/]"", ""\n"")"),"[center][u]Armed — 'Fully Automatic Assault Rifle'[/u] [i][color=#34343A]([i]Arms Runner[/i] enters the battlefield with a transient [i]'Fully Automatic Assault Rifle'[/i] attached to it.)[/color][/i][/center][p][i]Strength in Numbers[/i] — Whenever [i]Ar"&amp;"ms Runner[/i] attacks, choose another combatant; that combatant attacks with [i]Arms Runner[/i]. Until end of turn, that combatant gets +2/+2 and ranged.[font_size=15]\n\n[/font_size]If that combatant has [i]Strength in Numbers[/i] its chosen asset gets +"&amp;"2/+2 and ranged as well, repeat this process until there are no more unique combatants.[/p]")</f>
        <v xml:space="preserve">[center][u]Armed — 'Fully Automatic Assault Rifle'[/u] [i][color=#34343A]([i]Arms Runner[/i] enters the battlefield with a transient [i]'Fully Automatic Assault Rifle'[/i] attached to it.)[/color][/i][/center][p][i]Strength in Numbers[/i] — Whenever [i]Arms Runner[/i] attacks, choose another combatant; that combatant attacks with [i]Arms Runner[/i]. Until end of turn, that combatant gets +2/+2 and ranged.[font_size=15]\n\n[/font_size]If that combatant has [i]Strength in Numbers[/i] its chosen asset gets +2/+2 and ranged as well, repeat this process until there are no more unique combatants.[/p]</v>
      </c>
      <c r="W69" s="4" t="str">
        <f t="shared" si="5"/>
        <v>[i]Asset[/i]</v>
      </c>
      <c r="X69" s="4" t="str">
        <f t="shared" si="6"/>
        <v>RT_OR_002</v>
      </c>
    </row>
    <row r="70" outlineLevel="1">
      <c r="A70" s="1" t="s">
        <v>312</v>
      </c>
      <c r="B70" s="1" t="s">
        <v>313</v>
      </c>
      <c r="C70" s="2" t="s">
        <v>314</v>
      </c>
      <c r="D70" s="6" t="str">
        <f>IFERROR(__xludf.DUMMYFUNCTION("IF(EQ(A70,B70),"""",SWITCH(IF(T70="""",0,COUNTA(SPLIT(T70,"" ""))),0,""Generic"",1,TRIM(T70),2,""Multicolor"",3,""Multicolor"",4,""Multicolor"",5,""Multicolor"",6,""Multicolor"",7,""Multicolor"",8,""Multicolor""))"),"Orange")</f>
        <v>Orange</v>
      </c>
      <c r="E70" s="1"/>
      <c r="F70" s="1" t="s">
        <v>33</v>
      </c>
      <c r="H70" s="2" t="s">
        <v>81</v>
      </c>
      <c r="I70" s="3" t="s">
        <v>315</v>
      </c>
      <c r="J70" s="3"/>
      <c r="O70" s="3"/>
      <c r="Q70" s="1">
        <v>60</v>
      </c>
      <c r="R70" s="1">
        <v>50</v>
      </c>
      <c r="S70" s="4" t="str">
        <f t="shared" si="4"/>
        <v>False</v>
      </c>
      <c r="T70" s="4" t="str">
        <f>IFERROR(__xludf.DUMMYFUNCTION("CONCATENATE(if(REGEXMATCH(C70,""R""),"" Red"",""""),if(REGEXMATCH(C70,""O""),"" Orange"",""""),if(REGEXMATCH(C70,""Y""),"" Yellow"",""""),if(REGEXMATCH(C70,""G""),"" Green"",""""),if(REGEXMATCH(C70,""B""),"" Blue"",""""),if(REGEXMATCH(C70,""P""),"" Purple"&amp;""",""""))")," Orange")</f>
        <v>Orange</v>
      </c>
      <c r="U70" s="4" t="str">
        <f>IFERROR(__xludf.DUMMYFUNCTION("TRIM(CONCAT(""[right]"", REGEXREPLACE(C70, ""([ROYGBPXZC_]|1?[0-9])"", ""[img=119]res://textures/icons/$0.png[/img]\\n"")))"),"[right][img=119]res://textures/icons/X.png[/img]\n[img=119]res://textures/icons/O.png[/img]\n")</f>
        <v>[right][img=119]res://textures/icons/X.png[/img]\n[img=119]res://textures/icons/O.png[/img]\n</v>
      </c>
      <c r="V70" s="4" t="str">
        <f>IFERROR(__xludf.DUMMYFUNCTION("SUBSTITUTE(SUBSTITUTE(SUBSTITUTE(SUBSTITUTE(REGEXREPLACE(SUBSTITUTE(SUBSTITUTE(SUBSTITUTE(SUBSTITUTE(REGEXREPLACE(I70, ""(\[([ROYGBPTQUXZC_]|1?[0-9])\])"", ""[img=45]res://textures/icons/$2.png[/img]""),""--"",""—""),""-&gt;"",""•""),""~@"", CONCATENATE(""[i"&amp;"]"",REGEXEXTRACT(B70,""^([\s\S]*),|$""),""[/i]"")),""~"", CONCATENATE(""[i]"",B70,""[/i]"")),""(\([\s\S]*?\))"",""[i][color=#34343A]$0[/color][/i]""), ""&lt;"", ""[""), ""&gt;"", ""]""), ""[/p][p]"", ""[font_size=15]\n\n[/font_size]""), ""[br/]"", ""\n"")"),"Choose a combatant with [u]generalized cost[/u] [i][color=#34343A](The cost of the card if all typed symbols were replaced with generic numbers. E.x. Tale of Courage has a generalized cost of [img=45]res://textures/icons/1.png[/img] + [img=45]res://textur"&amp;"es/icons/X.png[/img].)[/color][/i] [img=45]res://textures/icons/X.png[/img] or less; it permanently becomes Renowned.")</f>
        <v xml:space="preserve">Choose a combatant with [u]generalized cost[/u] [i][color=#34343A](The cost of the card if all typed symbols were replaced with generic numbers. E.x. Tale of Courage has a generalized cost of [img=45]res://textures/icons/1.png[/img] + [img=45]res://textures/icons/X.png[/img].)[/color][/i] [img=45]res://textures/icons/X.png[/img] or less; it permanently becomes Renowned.</v>
      </c>
      <c r="W70" s="4" t="str">
        <f t="shared" si="5"/>
        <v>[i]Effect[/i]</v>
      </c>
      <c r="X70" s="4" t="str">
        <f t="shared" si="6"/>
        <v>RT_OR_003</v>
      </c>
    </row>
    <row r="71" outlineLevel="1">
      <c r="A71" s="1" t="s">
        <v>316</v>
      </c>
      <c r="B71" s="1" t="str">
        <f t="shared" si="3"/>
        <v>OR_004</v>
      </c>
      <c r="C71" s="2"/>
      <c r="D71" s="6" t="str">
        <f>IFERROR(__xludf.DUMMYFUNCTION("IF(EQ(A71,B71),"""",SWITCH(IF(T71="""",0,COUNTA(SPLIT(T71,"" ""))),0,""Generic"",1,TRIM(T71),2,""Multicolor"",3,""Multicolor"",4,""Multicolor"",5,""Multicolor"",6,""Multicolor"",7,""Multicolor"",8,""Multicolor""))"),"")</f>
        <v/>
      </c>
      <c r="E71" s="1"/>
      <c r="F71" s="1"/>
      <c r="H71" s="2"/>
      <c r="I71" s="3"/>
      <c r="J71" s="3"/>
      <c r="O71" s="3"/>
      <c r="Q71" s="1">
        <v>60</v>
      </c>
      <c r="R71" s="1">
        <v>50</v>
      </c>
      <c r="S71" s="4" t="str">
        <f t="shared" si="4"/>
        <v>False</v>
      </c>
      <c r="T71" s="4" t="str">
        <f>IFERROR(__xludf.DUMMYFUNCTION("CONCATENATE(if(REGEXMATCH(C71,""R""),"" Red"",""""),if(REGEXMATCH(C71,""O""),"" Orange"",""""),if(REGEXMATCH(C71,""Y""),"" Yellow"",""""),if(REGEXMATCH(C71,""G""),"" Green"",""""),if(REGEXMATCH(C71,""B""),"" Blue"",""""),if(REGEXMATCH(C71,""P""),"" Purple"&amp;""",""""))"),"")</f>
        <v/>
      </c>
      <c r="U71" s="4" t="str">
        <f>IFERROR(__xludf.DUMMYFUNCTION("TRIM(CONCAT(""[right]"", REGEXREPLACE(C71, ""([ROYGBPXZC_]|1?[0-9])"", ""[img=119]res://textures/icons/$0.png[/img]\\n"")))"),"[right]")</f>
        <v>[right]</v>
      </c>
      <c r="V71" s="4" t="str">
        <f>IFERROR(__xludf.DUMMYFUNCTION("SUBSTITUTE(SUBSTITUTE(SUBSTITUTE(SUBSTITUTE(REGEXREPLACE(SUBSTITUTE(SUBSTITUTE(SUBSTITUTE(SUBSTITUTE(REGEXREPLACE(I71, ""(\[([ROYGBPTQUXZC_]|1?[0-9])\])"", ""[img=45]res://textures/icons/$2.png[/img]""),""--"",""—""),""-&gt;"",""•""),""~@"", CONCATENATE(""[i"&amp;"]"",REGEXEXTRACT(B71,""^([\s\S]*),|$""),""[/i]"")),""~"", CONCATENATE(""[i]"",B71,""[/i]"")),""(\([\s\S]*?\))"",""[i][color=#34343A]$0[/color][/i]""), ""&lt;"", ""[""), ""&gt;"", ""]""), ""[/p][p]"", ""[font_size=15]\n\n[/font_size]""), ""[br/]"", ""\n"")"),"")</f>
        <v/>
      </c>
      <c r="W71" s="4" t="str">
        <f t="shared" si="5"/>
        <v>[i][/i]</v>
      </c>
      <c r="X71" s="4" t="str">
        <f t="shared" si="6"/>
        <v>0</v>
      </c>
    </row>
    <row r="72" outlineLevel="1">
      <c r="A72" s="1" t="s">
        <v>317</v>
      </c>
      <c r="B72" s="1" t="s">
        <v>318</v>
      </c>
      <c r="C72" s="2" t="s">
        <v>319</v>
      </c>
      <c r="D72" s="6" t="str">
        <f>IFERROR(__xludf.DUMMYFUNCTION("IF(EQ(A72,B72),"""",SWITCH(IF(T72="""",0,COUNTA(SPLIT(T72,"" ""))),0,""Generic"",1,TRIM(T72),2,""Multicolor"",3,""Multicolor"",4,""Multicolor"",5,""Multicolor"",6,""Multicolor"",7,""Multicolor"",8,""Multicolor""))"),"Orange")</f>
        <v>Orange</v>
      </c>
      <c r="E72" s="1"/>
      <c r="F72" s="1" t="s">
        <v>87</v>
      </c>
      <c r="G72" s="1" t="s">
        <v>320</v>
      </c>
      <c r="H72" s="2" t="s">
        <v>129</v>
      </c>
      <c r="I72" s="11" t="s">
        <v>321</v>
      </c>
      <c r="J72" s="3"/>
      <c r="O72" s="3"/>
      <c r="Q72" s="1">
        <v>55</v>
      </c>
      <c r="R72" s="1">
        <v>50</v>
      </c>
      <c r="S72" s="4" t="str">
        <f t="shared" si="4"/>
        <v>False</v>
      </c>
      <c r="T72" s="4" t="str">
        <f>IFERROR(__xludf.DUMMYFUNCTION("CONCATENATE(if(REGEXMATCH(C72,""R""),"" Red"",""""),if(REGEXMATCH(C72,""O""),"" Orange"",""""),if(REGEXMATCH(C72,""Y""),"" Yellow"",""""),if(REGEXMATCH(C72,""G""),"" Green"",""""),if(REGEXMATCH(C72,""B""),"" Blue"",""""),if(REGEXMATCH(C72,""P""),"" Purple"&amp;""",""""))")," Orange")</f>
        <v>Orange</v>
      </c>
      <c r="U72" s="4" t="str">
        <f>IFERROR(__xludf.DUMMYFUNCTION("TRIM(CONCAT(""[right]"", REGEXREPLACE(C72, ""([ROYGBPXZC_]|1?[0-9])"", ""[img=119]res://textures/icons/$0.png[/img]\\n"")))"),"[right][img=119]res://textures/icons/3.png[/img]\n[img=119]res://textures/icons/O.png[/img]\n[img=119]res://textures/icons/O.png[/img]\n[img=119]res://textures/icons/O.png[/img]\n")</f>
        <v>[right][img=119]res://textures/icons/3.png[/img]\n[img=119]res://textures/icons/O.png[/img]\n[img=119]res://textures/icons/O.png[/img]\n[img=119]res://textures/icons/O.png[/img]\n</v>
      </c>
      <c r="V72" s="4" t="str">
        <f>IFERROR(__xludf.DUMMYFUNCTION("SUBSTITUTE(SUBSTITUTE(SUBSTITUTE(SUBSTITUTE(REGEXREPLACE(SUBSTITUTE(SUBSTITUTE(SUBSTITUTE(SUBSTITUTE(REGEXREPLACE(I72, ""(\[([ROYGBPTQUXZC_]|1?[0-9])\])"", ""[img=45]res://textures/icons/$2.png[/img]""),""--"",""—""),""-&gt;"",""•""),""~@"", CONCATENATE(""[i"&amp;"]"",REGEXEXTRACT(B72,""^([\s\S]*),|$""),""[/i]"")),""~"", CONCATENATE(""[i]"",B72,""[/i]"")),""(\([\s\S]*?\))"",""[i][color=#34343A]$0[/color][/i]""), ""&lt;"", ""[""), ""&gt;"", ""]""), ""[/p][p]"", ""[font_size=15]\n\n[/font_size]""), ""[br/]"", ""\n"")"),"[center][i][color=#34343A](This effect can only be deployed if you control a renowned asset. Banked energy can't be spent to deploy renowned cards.)[/color][/i]\n[u]Append to Combatant [img=45]res://textures/icons/3.png[/img][img=45]res://textures/icons/O"&amp;".png[/img][img=45]res://textures/icons/O.png[/img][img=45]res://textures/icons/O.png[/img][/u] [i][color=#34343A](As you deploy a combatant you may reveal [i]Inspiring Leadership[/i] and pay [img=45]res://textures/icons/3.png[/img][img=45]res://textures/i"&amp;"cons/O.png[/img][img=45]res://textures/icons/O.png[/img][img=45]res://textures/icons/O.png[/img]. If you do add this card's effects as it resolves; it loses those effects once it leaves the stack.)[/color][/i][/center][p]You may activate your commander's "&amp;"As Commander effect [i][color=#34343A](ignoring any costs and timing/occurrence restrictions.)[/color][/i][/p]")</f>
        <v xml:space="preserve">[center][i][color=#34343A](This effect can only be deployed if you control a renowned asset. Banked energy can't be spent to deploy renowned cards.)[/color][/i]\n[u]Append to Combatant [img=45]res://textures/icons/3.png[/img][img=45]res://textures/icons/O.png[/img][img=45]res://textures/icons/O.png[/img][img=45]res://textures/icons/O.png[/img][/u] [i][color=#34343A](As you deploy a combatant you may reveal [i]Inspiring Leadership[/i] and pay [img=45]res://textures/icons/3.png[/img][img=45]res://textures/icons/O.png[/img][img=45]res://textures/icons/O.png[/img][img=45]res://textures/icons/O.png[/img]. If you do add this card's effects as it resolves; it loses those effects once it leaves the stack.)[/color][/i][/center][p]You may activate your commander's As Commander effect [i][color=#34343A](ignoring any costs and timing/occurrence restrictions.)[/color][/i][/p]</v>
      </c>
      <c r="W72" s="4" t="str">
        <f t="shared" si="5"/>
        <v xml:space="preserve">[i]R. Effect[/i]</v>
      </c>
      <c r="X72" s="4" t="str">
        <f t="shared" si="6"/>
        <v>RT_OU_001</v>
      </c>
    </row>
    <row r="73" outlineLevel="1">
      <c r="A73" s="1" t="s">
        <v>322</v>
      </c>
      <c r="B73" s="1" t="s">
        <v>323</v>
      </c>
      <c r="C73" s="2" t="s">
        <v>324</v>
      </c>
      <c r="D73" s="6" t="str">
        <f>IFERROR(__xludf.DUMMYFUNCTION("IF(EQ(A73,B73),"""",SWITCH(IF(T73="""",0,COUNTA(SPLIT(T73,"" ""))),0,""Generic"",1,TRIM(T73),2,""Multicolor"",3,""Multicolor"",4,""Multicolor"",5,""Multicolor"",6,""Multicolor"",7,""Multicolor"",8,""Multicolor""))"),"Orange")</f>
        <v>Orange</v>
      </c>
      <c r="E73" s="1"/>
      <c r="F73" s="1" t="s">
        <v>26</v>
      </c>
      <c r="G73" s="1" t="s">
        <v>269</v>
      </c>
      <c r="H73" s="2" t="s">
        <v>129</v>
      </c>
      <c r="I73" s="3" t="s">
        <v>325</v>
      </c>
      <c r="J73" s="3"/>
      <c r="O73" s="3"/>
      <c r="Q73" s="1">
        <v>60</v>
      </c>
      <c r="R73" s="1">
        <v>50</v>
      </c>
      <c r="S73" s="4" t="str">
        <f t="shared" si="4"/>
        <v>False</v>
      </c>
      <c r="T73" s="4" t="str">
        <f>IFERROR(__xludf.DUMMYFUNCTION("CONCATENATE(if(REGEXMATCH(C73,""R""),"" Red"",""""),if(REGEXMATCH(C73,""O""),"" Orange"",""""),if(REGEXMATCH(C73,""Y""),"" Yellow"",""""),if(REGEXMATCH(C73,""G""),"" Green"",""""),if(REGEXMATCH(C73,""B""),"" Blue"",""""),if(REGEXMATCH(C73,""P""),"" Purple"&amp;""",""""))")," Orange")</f>
        <v>Orange</v>
      </c>
      <c r="U73" s="4" t="str">
        <f>IFERROR(__xludf.DUMMYFUNCTION("TRIM(CONCAT(""[right]"", REGEXREPLACE(C73, ""([ROYGBPXZC_]|1?[0-9])"", ""[img=119]res://textures/icons/$0.png[/img]\\n"")))"),"[right][img=119]res://textures/icons/O.png[/img]\n")</f>
        <v>[right][img=119]res://textures/icons/O.png[/img]\n</v>
      </c>
      <c r="V73" s="4" t="str">
        <f>IFERROR(__xludf.DUMMYFUNCTION("SUBSTITUTE(SUBSTITUTE(SUBSTITUTE(SUBSTITUTE(REGEXREPLACE(SUBSTITUTE(SUBSTITUTE(SUBSTITUTE(SUBSTITUTE(REGEXREPLACE(I73, ""(\[([ROYGBPTQUXZC_]|1?[0-9])\])"", ""[img=45]res://textures/icons/$2.png[/img]""),""--"",""—""),""-&gt;"",""•""),""~@"", CONCATENATE(""[i"&amp;"]"",REGEXEXTRACT(B73,""^([\s\S]*),|$""),""[/i]"")),""~"", CONCATENATE(""[i]"",B73,""[/i]"")),""(\([\s\S]*?\))"",""[i][color=#34343A]$0[/color][/i]""), ""&lt;"", ""[""), ""&gt;"", ""]""), ""[/p][p]"", ""[font_size=15]\n\n[/font_size]""), ""[br/]"", ""\n"")"),"[center][u]Exchange [img=45]res://textures/icons/2.png[/img][/u] [i][color=#34343A](Pay [img=45]res://textures/icons/2.png[/img], Discard [i]Flakka Shot[/i] from your hand: Draw a card.)[/color][/i][/center][p][u]Forfeit[/u] [i][color=#34343A](Put the spe"&amp;"cified card into its owner's discard.)[/color][/i] [i]Flakka Shot[/i]: Choose an asset to permanently get +3/+3 and [u]reckless[/u] [i][color=#34343A](The specified asset can't intercept.)[/color][/i][/p]")</f>
        <v xml:space="preserve">[center][u]Exchange [img=45]res://textures/icons/2.png[/img][/u] [i][color=#34343A](Pay [img=45]res://textures/icons/2.png[/img], Discard [i]Flakka Shot[/i] from your hand: Draw a card.)[/color][/i][/center][p][u]Forfeit[/u] [i][color=#34343A](Put the specified card into its owner's discard.)[/color][/i] [i]Flakka Shot[/i]: Choose an asset to permanently get +3/+3 and [u]reckless[/u] [i][color=#34343A](The specified asset can't intercept.)[/color][/i][/p]</v>
      </c>
      <c r="W73" s="4" t="str">
        <f t="shared" si="5"/>
        <v>[i]Asset[/i]</v>
      </c>
      <c r="X73" s="4" t="str">
        <f t="shared" si="6"/>
        <v>RT_OU_002</v>
      </c>
    </row>
    <row r="74" outlineLevel="1">
      <c r="A74" s="1" t="s">
        <v>326</v>
      </c>
      <c r="B74" s="4" t="s">
        <v>327</v>
      </c>
      <c r="C74" s="5" t="s">
        <v>328</v>
      </c>
      <c r="D74" s="6" t="str">
        <f>IFERROR(__xludf.DUMMYFUNCTION("IF(ISBLANK(A74),"""",SWITCH(IF(T74="""",0,COUNTA(SPLIT(T74,"" ""))),0,""Generic"",1,TRIM(T74),2,""Multicolor"",3,""Multicolor"",4,""Multicolor"",5,""Multicolor"",6,""Multicolor"",7,""Multicolor"",8,""Multicolor""))"),"Orange")</f>
        <v>Orange</v>
      </c>
      <c r="E74" s="4"/>
      <c r="F74" s="4" t="s">
        <v>33</v>
      </c>
      <c r="G74" s="4" t="s">
        <v>232</v>
      </c>
      <c r="H74" s="5" t="s">
        <v>119</v>
      </c>
      <c r="I74" s="7" t="s">
        <v>329</v>
      </c>
      <c r="J74" s="3"/>
      <c r="O74" s="3"/>
      <c r="Q74" s="1">
        <v>60</v>
      </c>
      <c r="R74" s="1">
        <v>50</v>
      </c>
      <c r="S74" s="4" t="str">
        <f t="shared" si="4"/>
        <v>False</v>
      </c>
      <c r="T74" s="4" t="str">
        <f>IFERROR(__xludf.DUMMYFUNCTION("CONCATENATE(if(REGEXMATCH(C74,""R""),"" Red"",""""),if(REGEXMATCH(C74,""O""),"" Orange"",""""),if(REGEXMATCH(C74,""Y""),"" Yellow"",""""),if(REGEXMATCH(C74,""G""),"" Green"",""""),if(REGEXMATCH(C74,""B""),"" Blue"",""""),if(REGEXMATCH(C74,""P""),"" Purple"&amp;""",""""))")," Orange")</f>
        <v>Orange</v>
      </c>
      <c r="U74" s="4" t="str">
        <f>IFERROR(__xludf.DUMMYFUNCTION("TRIM(CONCAT(""[right]"", REGEXREPLACE(C74, ""([ROYGBPXZC_]|1?[0-9])"", ""[img=119]res://textures/icons/$0.png[/img]\\n"")))"),"[right][img=119]res://textures/icons/X.png[/img]\n[img=119]res://textures/icons/X.png[/img]\n[img=119]res://textures/icons/O.png[/img]\n")</f>
        <v>[right][img=119]res://textures/icons/X.png[/img]\n[img=119]res://textures/icons/X.png[/img]\n[img=119]res://textures/icons/O.png[/img]\n</v>
      </c>
      <c r="V74" s="4" t="str">
        <f>IFERROR(__xludf.DUMMYFUNCTION("SUBSTITUTE(SUBSTITUTE(SUBSTITUTE(SUBSTITUTE(REGEXREPLACE(SUBSTITUTE(SUBSTITUTE(SUBSTITUTE(SUBSTITUTE(REGEXREPLACE(I74, ""(\[([ROYGBPTQUXZC_]|1?[0-9])\])"", ""[img=45]res://textures/icons/$2.png[/img]""),""--"",""—""),""-&gt;"",""•""),""~@"", CONCATENATE(""[i"&amp;"]"",REGEXEXTRACT(B74,""^([\s\S]*),|$""),""[/i]"")),""~"", CONCATENATE(""[i]"",B74,""[/i]"")),""(\([\s\S]*?\))"",""[i][color=#34343A]$0[/color][/i]""), ""&lt;"", ""[""), ""&gt;"", ""]""), ""[/p][p]"", ""[font_size=15]\n\n[/font_size]""), ""[br/]"", ""\n"")"),"The top [img=45]res://textures/icons/X.png[/img] cards of your deck permanently cost [img=45]res://textures/icons/Z.png[/img] [i][color=#34343A](Z is 1 plus the number of combatants that entered the battlefield under your opponent's control this turn.)[/c"&amp;"olor][/i] less.")</f>
        <v xml:space="preserve">The top [img=45]res://textures/icons/X.png[/img] cards of your deck permanently cost [img=45]res://textures/icons/Z.png[/img] [i][color=#34343A](Z is 1 plus the number of combatants that entered the battlefield under your opponent's control this turn.)[/color][/i] less.</v>
      </c>
      <c r="W74" s="4" t="str">
        <f t="shared" si="5"/>
        <v>[i]Effect[/i]</v>
      </c>
      <c r="X74" s="4" t="str">
        <f t="shared" si="6"/>
        <v>RT_OU_003</v>
      </c>
    </row>
    <row r="75" outlineLevel="1">
      <c r="A75" s="1" t="s">
        <v>330</v>
      </c>
      <c r="B75" s="4" t="s">
        <v>331</v>
      </c>
      <c r="C75" s="5" t="s">
        <v>324</v>
      </c>
      <c r="D75" s="6" t="str">
        <f>IFERROR(__xludf.DUMMYFUNCTION("IF(ISBLANK(A75),"""",SWITCH(IF(T75="""",0,COUNTA(SPLIT(T75,"" ""))),0,""Generic"",1,TRIM(T75),2,""Multicolor"",3,""Multicolor"",4,""Multicolor"",5,""Multicolor"",6,""Multicolor"",7,""Multicolor"",8,""Multicolor""))"),"Orange")</f>
        <v>Orange</v>
      </c>
      <c r="E75" s="4" t="s">
        <v>51</v>
      </c>
      <c r="F75" s="4" t="s">
        <v>26</v>
      </c>
      <c r="G75" s="4" t="s">
        <v>332</v>
      </c>
      <c r="H75" s="5" t="s">
        <v>129</v>
      </c>
      <c r="I75" s="7" t="s">
        <v>333</v>
      </c>
      <c r="J75" s="4"/>
      <c r="K75" s="8">
        <v>5</v>
      </c>
      <c r="L75" s="8">
        <v>5</v>
      </c>
      <c r="O75" s="3"/>
      <c r="Q75" s="1">
        <v>60</v>
      </c>
      <c r="R75" s="1">
        <v>35</v>
      </c>
      <c r="S75" s="4" t="str">
        <f t="shared" si="4"/>
        <v>True</v>
      </c>
      <c r="T75" s="4" t="str">
        <f>IFERROR(__xludf.DUMMYFUNCTION("CONCATENATE(if(REGEXMATCH(C75,""R""),"" Red"",""""),if(REGEXMATCH(C75,""O""),"" Orange"",""""),if(REGEXMATCH(C75,""Y""),"" Yellow"",""""),if(REGEXMATCH(C75,""G""),"" Green"",""""),if(REGEXMATCH(C75,""B""),"" Blue"",""""),if(REGEXMATCH(C75,""P""),"" Purple"&amp;""",""""))")," Orange")</f>
        <v>Orange</v>
      </c>
      <c r="U75" s="4" t="str">
        <f>IFERROR(__xludf.DUMMYFUNCTION("TRIM(CONCAT(""[right]"", REGEXREPLACE(C75, ""([ROYGBPXZC_]|1?[0-9])"", ""[img=119]res://textures/icons/$0.png[/img]\\n"")))"),"[right][img=119]res://textures/icons/O.png[/img]\n")</f>
        <v>[right][img=119]res://textures/icons/O.png[/img]\n</v>
      </c>
      <c r="V75" s="4" t="str">
        <f>IFERROR(__xludf.DUMMYFUNCTION("SUBSTITUTE(SUBSTITUTE(SUBSTITUTE(SUBSTITUTE(REGEXREPLACE(SUBSTITUTE(SUBSTITUTE(SUBSTITUTE(SUBSTITUTE(REGEXREPLACE(I75, ""(\[([ROYGBPTQUXZC_]|1?[0-9])\])"", ""[img=45]res://textures/icons/$2.png[/img]""),""--"",""—""),""-&gt;"",""•""),""~@"", CONCATENATE(""[i"&amp;"]"",REGEXEXTRACT(B75,""^([\s\S]*),|$""),""[/i]"")),""~"", CONCATENATE(""[i]"",B75,""[/i]"")),""(\([\s\S]*?\))"",""[i][color=#34343A]$0[/color][/i]""), ""&lt;"", ""[""), ""&gt;"", ""]""), ""[/p][p]"", ""[font_size=15]\n\n[/font_size]""), ""[br/]"", ""\n"")"),"[center][u]Subterfuge[/u] [i][color=#34343A](Damage dealt by this card, doesn't cause your opponents to draw cards.)[/color][/i][/center][p]Whenever [i]Fickle Loyalist[/i] is dealt damage, the player who controlled the source of damage gains control of [i"&amp;"]Fickle Loyalist[/i].[/p]")</f>
        <v xml:space="preserve">[center][u]Subterfuge[/u] [i][color=#34343A](Damage dealt by this card, doesn't cause your opponents to draw cards.)[/color][/i][/center][p]Whenever [i]Fickle Loyalist[/i] is dealt damage, the player who controlled the source of damage gains control of [i]Fickle Loyalist[/i].[/p]</v>
      </c>
      <c r="W75" s="4" t="str">
        <f t="shared" si="5"/>
        <v>[i]Asset[/i]</v>
      </c>
      <c r="X75" s="4" t="str">
        <f t="shared" si="6"/>
        <v>RT_OU_004</v>
      </c>
    </row>
    <row r="76" outlineLevel="1">
      <c r="A76" s="1" t="s">
        <v>334</v>
      </c>
      <c r="B76" s="4" t="s">
        <v>335</v>
      </c>
      <c r="C76" s="5" t="s">
        <v>336</v>
      </c>
      <c r="D76" s="6" t="str">
        <f>IFERROR(__xludf.DUMMYFUNCTION("IF(ISBLANK(A76),"""",SWITCH(IF(T76="""",0,COUNTA(SPLIT(T76,"" ""))),0,""Generic"",1,TRIM(T76),2,""Multicolor"",3,""Multicolor"",4,""Multicolor"",5,""Multicolor"",6,""Multicolor"",7,""Multicolor"",8,""Multicolor""))"),"Orange")</f>
        <v>Orange</v>
      </c>
      <c r="E76" s="4" t="s">
        <v>51</v>
      </c>
      <c r="F76" s="4" t="s">
        <v>26</v>
      </c>
      <c r="G76" s="4" t="s">
        <v>245</v>
      </c>
      <c r="H76" s="5" t="s">
        <v>129</v>
      </c>
      <c r="I76" s="7" t="s">
        <v>337</v>
      </c>
      <c r="J76" s="4"/>
      <c r="K76" s="8">
        <v>5</v>
      </c>
      <c r="L76" s="8">
        <v>3</v>
      </c>
      <c r="O76" s="3"/>
      <c r="Q76" s="1">
        <v>60</v>
      </c>
      <c r="R76" s="1">
        <v>35</v>
      </c>
      <c r="S76" s="4" t="str">
        <f t="shared" si="4"/>
        <v>True</v>
      </c>
      <c r="T76" s="4" t="str">
        <f>IFERROR(__xludf.DUMMYFUNCTION("CONCATENATE(if(REGEXMATCH(C76,""R""),"" Red"",""""),if(REGEXMATCH(C76,""O""),"" Orange"",""""),if(REGEXMATCH(C76,""Y""),"" Yellow"",""""),if(REGEXMATCH(C76,""G""),"" Green"",""""),if(REGEXMATCH(C76,""B""),"" Blue"",""""),if(REGEXMATCH(C76,""P""),"" Purple"&amp;""",""""))")," Orange")</f>
        <v>Orange</v>
      </c>
      <c r="U76" s="4" t="str">
        <f>IFERROR(__xludf.DUMMYFUNCTION("TRIM(CONCAT(""[right]"", REGEXREPLACE(C76, ""([ROYGBPXZC_]|1?[0-9])"", ""[img=119]res://textures/icons/$0.png[/img]\\n"")))"),"[right][img=119]res://textures/icons/2.png[/img]\n[img=119]res://textures/icons/O.png[/img]\n")</f>
        <v>[right][img=119]res://textures/icons/2.png[/img]\n[img=119]res://textures/icons/O.png[/img]\n</v>
      </c>
      <c r="V76" s="4" t="str">
        <f>IFERROR(__xludf.DUMMYFUNCTION("SUBSTITUTE(SUBSTITUTE(SUBSTITUTE(SUBSTITUTE(REGEXREPLACE(SUBSTITUTE(SUBSTITUTE(SUBSTITUTE(SUBSTITUTE(REGEXREPLACE(I76, ""(\[([ROYGBPTQUXZC_]|1?[0-9])\])"", ""[img=45]res://textures/icons/$2.png[/img]""),""--"",""—""),""-&gt;"",""•""),""~@"", CONCATENATE(""[i"&amp;"]"",REGEXEXTRACT(B76,""^([\s\S]*),|$""),""[/i]"")),""~"", CONCATENATE(""[i]"",B76,""[/i]"")),""(\([\s\S]*?\))"",""[i][color=#34343A]$0[/color][/i]""), ""&lt;"", ""[""), ""&gt;"", ""]""), ""[/p][p]"", ""[font_size=15]\n\n[/font_size]""), ""[br/]"", ""\n"")"),"[center][u]Subterfuge[/u] [i][color=#34343A](Damage dealt by this card, doesn't cause your opponents to draw cards.)[/color][/i], [u]Quick Hire[/u] [i][color=#34343A](When [i]Political Intern[/i] is hired as a generator, it can exhaust as soon as it is hi"&amp;"red.)[/color][/i][/center][p][img=45]res://textures/icons/T.png[/img]: Add [img=45]res://textures/icons/O.png[/img].[font_size=15]\n\n[/font_size][img=45]res://textures/icons/2.png[/img][img=45]res://textures/icons/O.png[/img][img=45]res://textures/icons/"&amp;"O.png[/img], [img=45]res://textures/icons/T.png[/img]: Swap control of Political Intern and an asset of your choice an opponent controls.[/p]")</f>
        <v xml:space="preserve">[center][u]Subterfuge[/u] [i][color=#34343A](Damage dealt by this card, doesn't cause your opponents to draw cards.)[/color][/i], [u]Quick Hire[/u] [i][color=#34343A](When [i]Political Intern[/i] is hired as a generator, it can exhaust as soon as it is hired.)[/color][/i][/center][p][img=45]res://textures/icons/T.png[/img]: Add [img=45]res://textures/icons/O.png[/img].[font_size=15]\n\n[/font_size][img=45]res://textures/icons/2.png[/img][img=45]res://textures/icons/O.png[/img][img=45]res://textures/icons/O.png[/img], [img=45]res://textures/icons/T.png[/img]: Swap control of Political Intern and an asset of your choice an opponent controls.[/p]</v>
      </c>
      <c r="W76" s="4" t="str">
        <f t="shared" si="5"/>
        <v>[i]Asset[/i]</v>
      </c>
      <c r="X76" s="4" t="str">
        <f t="shared" si="6"/>
        <v>RT_OU_005</v>
      </c>
    </row>
    <row r="77" outlineLevel="1">
      <c r="A77" s="1" t="s">
        <v>338</v>
      </c>
      <c r="B77" s="1" t="s">
        <v>339</v>
      </c>
      <c r="C77" s="2" t="s">
        <v>340</v>
      </c>
      <c r="D77" s="6" t="str">
        <f>IFERROR(__xludf.DUMMYFUNCTION("IF(EQ(A77,B77),"""",SWITCH(IF(T77="""",0,COUNTA(SPLIT(T77,"" ""))),0,""Generic"",1,TRIM(T77),2,""Multicolor"",3,""Multicolor"",4,""Multicolor"",5,""Multicolor"",6,""Multicolor"",7,""Multicolor"",8,""Multicolor""))"),"Orange")</f>
        <v>Orange</v>
      </c>
      <c r="E77" s="1" t="s">
        <v>51</v>
      </c>
      <c r="F77" s="1" t="s">
        <v>26</v>
      </c>
      <c r="G77" s="1" t="s">
        <v>341</v>
      </c>
      <c r="H77" s="2" t="s">
        <v>129</v>
      </c>
      <c r="I77" s="3" t="s">
        <v>342</v>
      </c>
      <c r="J77" s="3"/>
      <c r="K77" s="1">
        <v>6</v>
      </c>
      <c r="L77" s="1">
        <v>2</v>
      </c>
      <c r="O77" s="3"/>
      <c r="Q77" s="1">
        <v>50</v>
      </c>
      <c r="R77" s="1">
        <v>50</v>
      </c>
      <c r="S77" s="4" t="str">
        <f t="shared" si="4"/>
        <v>True</v>
      </c>
      <c r="T77" s="4" t="str">
        <f>IFERROR(__xludf.DUMMYFUNCTION("CONCATENATE(if(REGEXMATCH(C77,""R""),"" Red"",""""),if(REGEXMATCH(C77,""O""),"" Orange"",""""),if(REGEXMATCH(C77,""Y""),"" Yellow"",""""),if(REGEXMATCH(C77,""G""),"" Green"",""""),if(REGEXMATCH(C77,""B""),"" Blue"",""""),if(REGEXMATCH(C77,""P""),"" Purple"&amp;""",""""))")," Orange")</f>
        <v>Orange</v>
      </c>
      <c r="U77" s="4" t="str">
        <f>IFERROR(__xludf.DUMMYFUNCTION("TRIM(CONCAT(""[right]"", REGEXREPLACE(C77, ""([ROYGBPXZC_]|1?[0-9])"", ""[img=119]res://textures/icons/$0.png[/img]\\n"")))"),"[right][img=119]res://textures/icons/1.png[/img]\n[img=119]res://textures/icons/O.png[/img]\n")</f>
        <v>[right][img=119]res://textures/icons/1.png[/img]\n[img=119]res://textures/icons/O.png[/img]\n</v>
      </c>
      <c r="V77" s="4" t="str">
        <f>IFERROR(__xludf.DUMMYFUNCTION("SUBSTITUTE(SUBSTITUTE(SUBSTITUTE(SUBSTITUTE(REGEXREPLACE(SUBSTITUTE(SUBSTITUTE(SUBSTITUTE(SUBSTITUTE(REGEXREPLACE(I77, ""(\[([ROYGBPTQUXZC_]|1?[0-9])\])"", ""[img=45]res://textures/icons/$2.png[/img]""),""--"",""—""),""-&gt;"",""•""),""~@"", CONCATENATE(""[i"&amp;"]"",REGEXEXTRACT(B77,""^([\s\S]*),|$""),""[/i]"")),""~"", CONCATENATE(""[i]"",B77,""[/i]"")),""(\([\s\S]*?\))"",""[i][color=#34343A]$0[/color][/i]""), ""&lt;"", ""[""), ""&gt;"", ""]""), ""[/p][p]"", ""[font_size=15]\n\n[/font_size]""), ""[br/]"", ""\n"")"),"[center][u]Pierce[/u] [i][color=#34343A]([i]Fugitive on the Run[/i] deals combat damage greater than the combined health of the assets intercepting it to the commander it is attacking and bypasses armor.)[/color][/i], [u]Rush[/u] [i][color=#34343A]([i]Fug"&amp;"itive on the Run[/i] can attack and intercept as soon as it resolves, but it can't be explicitly exhausted that turn.)[/color][/i][/center][p]When [i]Fugitive on the Run[/i] enters the battlefield, choose an opponent; create 2 [i]'Fellow Officer'[/i]s on "&amp;"the battlefield under their control.[/p]")</f>
        <v xml:space="preserve">[center][u]Pierce[/u] [i][color=#34343A]([i]Fugitive on the Run[/i] deals combat damage greater than the combined health of the assets intercepting it to the commander it is attacking and bypasses armor.)[/color][/i], [u]Rush[/u] [i][color=#34343A]([i]Fugitive on the Run[/i] can attack and intercept as soon as it resolves, but it can't be explicitly exhausted that turn.)[/color][/i][/center][p]When [i]Fugitive on the Run[/i] enters the battlefield, choose an opponent; create 2 [i]'Fellow Officer'[/i]s on the battlefield under their control.[/p]</v>
      </c>
      <c r="W77" s="4" t="str">
        <f t="shared" si="5"/>
        <v>[i]Asset[/i]</v>
      </c>
      <c r="X77" s="4" t="str">
        <f t="shared" si="6"/>
        <v>RT_OU_006</v>
      </c>
    </row>
    <row r="78" outlineLevel="1">
      <c r="A78" s="1" t="s">
        <v>343</v>
      </c>
      <c r="B78" s="4" t="s">
        <v>344</v>
      </c>
      <c r="C78" s="5" t="s">
        <v>336</v>
      </c>
      <c r="D78" s="6" t="str">
        <f>IFERROR(__xludf.DUMMYFUNCTION("IF(EQ(A87,B78),"""",SWITCH(IF(T87="""",0,COUNTA(SPLIT(T87,"" ""))),0,""Generic"",1,TRIM(T87),2,""Multicolor"",3,""Multicolor"",4,""Multicolor"",5,""Multicolor"",6,""Multicolor"",7,""Multicolor"",8,""Multicolor""))"),"Orange")</f>
        <v>Orange</v>
      </c>
      <c r="E78" s="4" t="s">
        <v>51</v>
      </c>
      <c r="F78" s="4" t="s">
        <v>26</v>
      </c>
      <c r="G78" s="4" t="s">
        <v>345</v>
      </c>
      <c r="H78" s="5" t="s">
        <v>129</v>
      </c>
      <c r="I78" s="7" t="s">
        <v>346</v>
      </c>
      <c r="K78" s="1">
        <v>5</v>
      </c>
      <c r="L78" s="1">
        <v>5</v>
      </c>
      <c r="O78" s="3"/>
      <c r="Q78" s="1">
        <v>60</v>
      </c>
      <c r="R78" s="1">
        <v>40</v>
      </c>
      <c r="S78" s="4" t="str">
        <f t="shared" si="4"/>
        <v>True</v>
      </c>
      <c r="T78" s="4" t="str">
        <f>IFERROR(__xludf.DUMMYFUNCTION("CONCATENATE(if(REGEXMATCH(C78,""R""),"" Red"",""""),if(REGEXMATCH(C78,""O""),"" Orange"",""""),if(REGEXMATCH(C78,""Y""),"" Yellow"",""""),if(REGEXMATCH(C78,""G""),"" Green"",""""),if(REGEXMATCH(C78,""B""),"" Blue"",""""),if(REGEXMATCH(C78,""P""),"" Purple"&amp;""",""""))")," Orange")</f>
        <v>Orange</v>
      </c>
      <c r="U78" s="4" t="str">
        <f>IFERROR(__xludf.DUMMYFUNCTION("TRIM(CONCAT(""[right]"", REGEXREPLACE(C78, ""([ROYGBPXZC_]|1?[0-9])"", ""[img=119]res://textures/icons/$0.png[/img]\\n"")))"),"[right][img=119]res://textures/icons/2.png[/img]\n[img=119]res://textures/icons/O.png[/img]\n")</f>
        <v>[right][img=119]res://textures/icons/2.png[/img]\n[img=119]res://textures/icons/O.png[/img]\n</v>
      </c>
      <c r="V78" s="4" t="str">
        <f>IFERROR(__xludf.DUMMYFUNCTION("SUBSTITUTE(SUBSTITUTE(SUBSTITUTE(SUBSTITUTE(REGEXREPLACE(SUBSTITUTE(SUBSTITUTE(SUBSTITUTE(SUBSTITUTE(REGEXREPLACE(I78, ""(\[([ROYGBPTQUXZC_]|1?[0-9])\])"", ""[img=45]res://textures/icons/$2.png[/img]""),""--"",""—""),""-&gt;"",""•""),""~@"", CONCATENATE(""[i"&amp;"]"",REGEXEXTRACT(B78,""^([\s\S]*),|$""),""[/i]"")),""~"", CONCATENATE(""[i]"",B78,""[/i]"")),""(\([\s\S]*?\))"",""[i][color=#34343A]$0[/color][/i]""), ""&lt;"", ""[""), ""&gt;"", ""]""), ""[/p][p]"", ""[font_size=15]\n\n[/font_size]""), ""[br/]"", ""\n"")"),"[center][u]Advantageous[/u] [i][color=#34343A](When [i]Loyal Supporter[/i] resolves, draw a card.)[/color][/i], [u]Subterfuge[/u] [i][color=#34343A](Damage dealt by this card, doesn't cause your opponents to draw cards.)[/color][/i][/center][p][u]Once[/u]"&amp;" [i][color=#34343A](As you activate this effect, remove it from this card)[/color][/i]: remove the first Tragedy card in your deck from the game.[/p]")</f>
        <v xml:space="preserve">[center][u]Advantageous[/u] [i][color=#34343A](When [i]Loyal Supporter[/i] resolves, draw a card.)[/color][/i], [u]Subterfuge[/u] [i][color=#34343A](Damage dealt by this card, doesn't cause your opponents to draw cards.)[/color][/i][/center][p][u]Once[/u] [i][color=#34343A](As you activate this effect, remove it from this card)[/color][/i]: remove the first Tragedy card in your deck from the game.[/p]</v>
      </c>
      <c r="W78" s="4" t="str">
        <f t="shared" si="5"/>
        <v>[i]Asset[/i]</v>
      </c>
      <c r="X78" s="4" t="str">
        <f t="shared" si="6"/>
        <v>RT_OU_007</v>
      </c>
    </row>
    <row r="79" outlineLevel="1">
      <c r="A79" s="1" t="s">
        <v>347</v>
      </c>
      <c r="B79" s="1" t="s">
        <v>348</v>
      </c>
      <c r="C79" s="2" t="s">
        <v>324</v>
      </c>
      <c r="D79" s="6" t="str">
        <f>IFERROR(__xludf.DUMMYFUNCTION("IF(EQ(A79,B79),"""",SWITCH(IF(T79="""",0,COUNTA(SPLIT(T79,"" ""))),0,""Generic"",1,TRIM(T79),2,""Multicolor"",3,""Multicolor"",4,""Multicolor"",5,""Multicolor"",6,""Multicolor"",7,""Multicolor"",8,""Multicolor""))"),"Orange")</f>
        <v>Orange</v>
      </c>
      <c r="E79" s="1"/>
      <c r="F79" s="1" t="s">
        <v>33</v>
      </c>
      <c r="G79" s="13" t="s">
        <v>118</v>
      </c>
      <c r="H79" s="2" t="s">
        <v>129</v>
      </c>
      <c r="I79" s="3" t="s">
        <v>349</v>
      </c>
      <c r="J79" s="3"/>
      <c r="O79" s="3"/>
      <c r="Q79" s="1">
        <v>45</v>
      </c>
      <c r="R79" s="1">
        <v>50</v>
      </c>
      <c r="S79" s="4" t="str">
        <f t="shared" si="4"/>
        <v>False</v>
      </c>
      <c r="T79" s="4" t="str">
        <f>IFERROR(__xludf.DUMMYFUNCTION("CONCATENATE(if(REGEXMATCH(C79,""R""),"" Red"",""""),if(REGEXMATCH(C79,""O""),"" Orange"",""""),if(REGEXMATCH(C79,""Y""),"" Yellow"",""""),if(REGEXMATCH(C79,""G""),"" Green"",""""),if(REGEXMATCH(C79,""B""),"" Blue"",""""),if(REGEXMATCH(C79,""P""),"" Purple"&amp;""",""""))")," Orange")</f>
        <v>Orange</v>
      </c>
      <c r="U79" s="4" t="str">
        <f>IFERROR(__xludf.DUMMYFUNCTION("TRIM(CONCAT(""[right]"", REGEXREPLACE(C79, ""([ROYGBPXZC_]|1?[0-9])"", ""[img=119]res://textures/icons/$0.png[/img]\\n"")))"),"[right][img=119]res://textures/icons/O.png[/img]\n")</f>
        <v>[right][img=119]res://textures/icons/O.png[/img]\n</v>
      </c>
      <c r="V79" s="4" t="str">
        <f>IFERROR(__xludf.DUMMYFUNCTION("SUBSTITUTE(SUBSTITUTE(SUBSTITUTE(SUBSTITUTE(REGEXREPLACE(SUBSTITUTE(SUBSTITUTE(SUBSTITUTE(SUBSTITUTE(REGEXREPLACE(I79, ""(\[([ROYGBPTQUXZC_]|1?[0-9])\])"", ""[img=45]res://textures/icons/$2.png[/img]""),""--"",""—""),""-&gt;"",""•""),""~@"", CONCATENATE(""[i"&amp;"]"",REGEXEXTRACT(B79,""^([\s\S]*),|$""),""[/i]"")),""~"", CONCATENATE(""[i]"",B79,""[/i]"")),""(\([\s\S]*?\))"",""[i][color=#34343A]$0[/color][/i]""), ""&lt;"", ""[""), ""&gt;"", ""]""), ""[/p][p]"", ""[font_size=15]\n\n[/font_size]""), ""[br/]"", ""\n"")"),"[center][u]Response[/u] [i][color=#34343A](You may deploy [i]Communications Blackout[/i] in response to other cards and effects.)[/color][/i][/center][p]Until end of turn, whenever a player would draw a card, you may have your commander lose 2 loyalty to "&amp;"prevent that card draw.[/p]")</f>
        <v xml:space="preserve">[center][u]Response[/u] [i][color=#34343A](You may deploy [i]Communications Blackout[/i] in response to other cards and effects.)[/color][/i][/center][p]Until end of turn, whenever a player would draw a card, you may have your commander lose 2 loyalty to prevent that card draw.[/p]</v>
      </c>
      <c r="W79" s="4" t="str">
        <f t="shared" si="5"/>
        <v>[i]Effect[/i]</v>
      </c>
      <c r="X79" s="4" t="str">
        <f t="shared" si="6"/>
        <v>RT_OU_008</v>
      </c>
    </row>
    <row r="80" outlineLevel="1">
      <c r="A80" s="1" t="s">
        <v>350</v>
      </c>
      <c r="B80" s="1" t="s">
        <v>351</v>
      </c>
      <c r="C80" s="2" t="s">
        <v>340</v>
      </c>
      <c r="D80" s="6" t="str">
        <f>IFERROR(__xludf.DUMMYFUNCTION("IF(EQ(A80,B80),"""",SWITCH(IF(T80="""",0,COUNTA(SPLIT(T80,"" ""))),0,""Generic"",1,TRIM(T80),2,""Multicolor"",3,""Multicolor"",4,""Multicolor"",5,""Multicolor"",6,""Multicolor"",7,""Multicolor"",8,""Multicolor""))"),"Orange")</f>
        <v>Orange</v>
      </c>
      <c r="E80" s="1" t="s">
        <v>79</v>
      </c>
      <c r="F80" s="1" t="s">
        <v>26</v>
      </c>
      <c r="G80" s="1" t="s">
        <v>352</v>
      </c>
      <c r="H80" s="2" t="s">
        <v>44</v>
      </c>
      <c r="I80" s="3" t="s">
        <v>353</v>
      </c>
      <c r="J80" s="3"/>
      <c r="K80" s="1">
        <v>3</v>
      </c>
      <c r="L80" s="1">
        <v>3</v>
      </c>
      <c r="O80" s="3"/>
      <c r="Q80" s="1">
        <v>60</v>
      </c>
      <c r="R80" s="1">
        <v>35</v>
      </c>
      <c r="S80" s="4" t="str">
        <f t="shared" si="4"/>
        <v>True</v>
      </c>
      <c r="T80" s="4" t="str">
        <f>IFERROR(__xludf.DUMMYFUNCTION("CONCATENATE(if(REGEXMATCH(C80,""R""),"" Red"",""""),if(REGEXMATCH(C80,""O""),"" Orange"",""""),if(REGEXMATCH(C80,""Y""),"" Yellow"",""""),if(REGEXMATCH(C80,""G""),"" Green"",""""),if(REGEXMATCH(C80,""B""),"" Blue"",""""),if(REGEXMATCH(C80,""P""),"" Purple"&amp;""",""""))")," Orange")</f>
        <v>Orange</v>
      </c>
      <c r="U80" s="4" t="str">
        <f>IFERROR(__xludf.DUMMYFUNCTION("TRIM(CONCAT(""[right]"", REGEXREPLACE(C80, ""([ROYGBPXZC_]|1?[0-9])"", ""[img=119]res://textures/icons/$0.png[/img]\\n"")))"),"[right][img=119]res://textures/icons/1.png[/img]\n[img=119]res://textures/icons/O.png[/img]\n")</f>
        <v>[right][img=119]res://textures/icons/1.png[/img]\n[img=119]res://textures/icons/O.png[/img]\n</v>
      </c>
      <c r="V80" s="4" t="str">
        <f>IFERROR(__xludf.DUMMYFUNCTION("SUBSTITUTE(SUBSTITUTE(SUBSTITUTE(SUBSTITUTE(REGEXREPLACE(SUBSTITUTE(SUBSTITUTE(SUBSTITUTE(SUBSTITUTE(REGEXREPLACE(I80, ""(\[([ROYGBPTQUXZC_]|1?[0-9])\])"", ""[img=45]res://textures/icons/$2.png[/img]""),""--"",""—""),""-&gt;"",""•""),""~@"", CONCATENATE(""[i"&amp;"]"",REGEXEXTRACT(B80,""^([\s\S]*),|$""),""[/i]"")),""~"", CONCATENATE(""[i]"",B80,""[/i]"")),""(\([\s\S]*?\))"",""[i][color=#34343A]$0[/color][/i]""), ""&lt;"", ""[""), ""&gt;"", ""]""), ""[/p][p]"", ""[font_size=15]\n\n[/font_size]""), ""[br/]"", ""\n"")"),"Each time [i]Delta Enforcer[/i] has dealt combat damage to an opponent 3 times, create a [i]'Bullet'[/i] on the battlefield.")</f>
        <v xml:space="preserve">Each time [i]Delta Enforcer[/i] has dealt combat damage to an opponent 3 times, create a [i]'Bullet'[/i] on the battlefield.</v>
      </c>
      <c r="W80" s="4" t="str">
        <f t="shared" si="5"/>
        <v>[i]Asset[/i]</v>
      </c>
      <c r="X80" s="4" t="str">
        <f t="shared" si="6"/>
        <v>RT_OC_001</v>
      </c>
    </row>
    <row r="81" outlineLevel="1">
      <c r="A81" s="1" t="s">
        <v>354</v>
      </c>
      <c r="B81" s="1" t="s">
        <v>355</v>
      </c>
      <c r="C81" s="2" t="s">
        <v>324</v>
      </c>
      <c r="D81" s="6" t="str">
        <f>IFERROR(__xludf.DUMMYFUNCTION("IF(EQ(A81,B81),"""",SWITCH(IF(T81="""",0,COUNTA(SPLIT(T81,"" ""))),0,""Generic"",1,TRIM(T81),2,""Multicolor"",3,""Multicolor"",4,""Multicolor"",5,""Multicolor"",6,""Multicolor"",7,""Multicolor"",8,""Multicolor""))"),"Orange")</f>
        <v>Orange</v>
      </c>
      <c r="E81" s="1" t="s">
        <v>51</v>
      </c>
      <c r="F81" s="1" t="s">
        <v>26</v>
      </c>
      <c r="G81" s="1" t="s">
        <v>356</v>
      </c>
      <c r="H81" s="2" t="s">
        <v>44</v>
      </c>
      <c r="I81" s="13" t="s">
        <v>357</v>
      </c>
      <c r="J81" s="3"/>
      <c r="K81" s="1">
        <v>5</v>
      </c>
      <c r="L81" s="1">
        <v>4</v>
      </c>
      <c r="O81" s="3"/>
      <c r="Q81" s="1">
        <v>60</v>
      </c>
      <c r="R81" s="1">
        <v>40</v>
      </c>
      <c r="S81" s="4" t="str">
        <f t="shared" si="4"/>
        <v>True</v>
      </c>
      <c r="T81" s="4" t="str">
        <f>IFERROR(__xludf.DUMMYFUNCTION("CONCATENATE(if(REGEXMATCH(C81,""R""),"" Red"",""""),if(REGEXMATCH(C81,""O""),"" Orange"",""""),if(REGEXMATCH(C81,""Y""),"" Yellow"",""""),if(REGEXMATCH(C81,""G""),"" Green"",""""),if(REGEXMATCH(C81,""B""),"" Blue"",""""),if(REGEXMATCH(C81,""P""),"" Purple"&amp;""",""""))")," Orange")</f>
        <v>Orange</v>
      </c>
      <c r="U81" s="4" t="str">
        <f>IFERROR(__xludf.DUMMYFUNCTION("TRIM(CONCAT(""[right]"", REGEXREPLACE(C81, ""([ROYGBPXZC_]|1?[0-9])"", ""[img=119]res://textures/icons/$0.png[/img]\\n"")))"),"[right][img=119]res://textures/icons/O.png[/img]\n")</f>
        <v>[right][img=119]res://textures/icons/O.png[/img]\n</v>
      </c>
      <c r="V81" s="4" t="str">
        <f>IFERROR(__xludf.DUMMYFUNCTION("SUBSTITUTE(SUBSTITUTE(SUBSTITUTE(SUBSTITUTE(REGEXREPLACE(SUBSTITUTE(SUBSTITUTE(SUBSTITUTE(SUBSTITUTE(REGEXREPLACE(I81, ""(\[([ROYGBPTQUXZC_]|1?[0-9])\])"", ""[img=45]res://textures/icons/$2.png[/img]""),""--"",""—""),""-&gt;"",""•""),""~@"", CONCATENATE(""[i"&amp;"]"",REGEXEXTRACT(B81,""^([\s\S]*),|$""),""[/i]"")),""~"", CONCATENATE(""[i]"",B81,""[/i]"")),""(\([\s\S]*?\))"",""[i][color=#34343A]$0[/color][/i]""), ""&lt;"", ""[""), ""&gt;"", ""]""), ""[/p][p]"", ""[font_size=15]\n\n[/font_size]""), ""[br/]"", ""\n"")"),"[center][u]Reckless[/u] [i][color=#34343A]([i]Reckless Recruit[/i] can't intercept.)[/color][/i][/center]")</f>
        <v xml:space="preserve">[center][u]Reckless[/u] [i][color=#34343A]([i]Reckless Recruit[/i] can't intercept.)[/color][/i][/center]</v>
      </c>
      <c r="W81" s="4" t="str">
        <f t="shared" si="5"/>
        <v>[i]Asset[/i]</v>
      </c>
      <c r="X81" s="4" t="str">
        <f t="shared" si="6"/>
        <v>RT_OC_002</v>
      </c>
    </row>
    <row r="82" outlineLevel="1">
      <c r="A82" s="1" t="s">
        <v>358</v>
      </c>
      <c r="B82" s="1" t="s">
        <v>359</v>
      </c>
      <c r="C82" s="2" t="s">
        <v>340</v>
      </c>
      <c r="D82" s="6" t="str">
        <f>IFERROR(__xludf.DUMMYFUNCTION("IF(EQ(A82,B82),"""",SWITCH(IF(T82="""",0,COUNTA(SPLIT(T82,"" ""))),0,""Generic"",1,TRIM(T82),2,""Multicolor"",3,""Multicolor"",4,""Multicolor"",5,""Multicolor"",6,""Multicolor"",7,""Multicolor"",8,""Multicolor""))"),"Orange")</f>
        <v>Orange</v>
      </c>
      <c r="E82" s="1"/>
      <c r="F82" s="1" t="s">
        <v>33</v>
      </c>
      <c r="G82" s="1" t="s">
        <v>118</v>
      </c>
      <c r="H82" s="2" t="s">
        <v>129</v>
      </c>
      <c r="I82" s="3" t="s">
        <v>360</v>
      </c>
      <c r="J82" s="3"/>
      <c r="O82" s="3"/>
      <c r="Q82" s="1">
        <v>60</v>
      </c>
      <c r="R82" s="1">
        <v>50</v>
      </c>
      <c r="S82" s="4" t="str">
        <f t="shared" si="4"/>
        <v>False</v>
      </c>
      <c r="T82" s="4" t="str">
        <f>IFERROR(__xludf.DUMMYFUNCTION("CONCATENATE(if(REGEXMATCH(C82,""R""),"" Red"",""""),if(REGEXMATCH(C82,""O""),"" Orange"",""""),if(REGEXMATCH(C82,""Y""),"" Yellow"",""""),if(REGEXMATCH(C82,""G""),"" Green"",""""),if(REGEXMATCH(C82,""B""),"" Blue"",""""),if(REGEXMATCH(C82,""P""),"" Purple"&amp;""",""""))")," Orange")</f>
        <v>Orange</v>
      </c>
      <c r="U82" s="4" t="str">
        <f>IFERROR(__xludf.DUMMYFUNCTION("TRIM(CONCAT(""[right]"", REGEXREPLACE(C82, ""([ROYGBPXZC_]|1?[0-9])"", ""[img=119]res://textures/icons/$0.png[/img]\\n"")))"),"[right][img=119]res://textures/icons/1.png[/img]\n[img=119]res://textures/icons/O.png[/img]\n")</f>
        <v>[right][img=119]res://textures/icons/1.png[/img]\n[img=119]res://textures/icons/O.png[/img]\n</v>
      </c>
      <c r="V82" s="4" t="str">
        <f>IFERROR(__xludf.DUMMYFUNCTION("SUBSTITUTE(SUBSTITUTE(SUBSTITUTE(SUBSTITUTE(REGEXREPLACE(SUBSTITUTE(SUBSTITUTE(SUBSTITUTE(SUBSTITUTE(REGEXREPLACE(I82, ""(\[([ROYGBPTQUXZC_]|1?[0-9])\])"", ""[img=45]res://textures/icons/$2.png[/img]""),""--"",""—""),""-&gt;"",""•""),""~@"", CONCATENATE(""[i"&amp;"]"",REGEXEXTRACT(B82,""^([\s\S]*),|$""),""[/i]"")),""~"", CONCATENATE(""[i]"",B82,""[/i]"")),""(\([\s\S]*?\))"",""[i][color=#34343A]$0[/color][/i]""), ""&lt;"", ""[""), ""&gt;"", ""]""), ""[/p][p]"", ""[font_size=15]\n\n[/font_size]""), ""[br/]"", ""\n"")"),"[center][u]Retribution[/u] [i][color=#34343A](When you draw [i]Fist Fight[/i] as a result of taking damage, you may deploy it without paying its cost.)[/color][/i][/center][p]Choose 2 combatants to [u]challenge[/u] [i][color=#34343A](The challenged asset "&amp;"must intercept its challenger the next time it's challenger attacks, if able.)[/color][/i] each other.[/p]")</f>
        <v xml:space="preserve">[center][u]Retribution[/u] [i][color=#34343A](When you draw [i]Fist Fight[/i] as a result of taking damage, you may deploy it without paying its cost.)[/color][/i][/center][p]Choose 2 combatants to [u]challenge[/u] [i][color=#34343A](The challenged asset must intercept its challenger the next time it's challenger attacks, if able.)[/color][/i] each other.[/p]</v>
      </c>
      <c r="W82" s="4" t="str">
        <f t="shared" si="5"/>
        <v>[i]Effect[/i]</v>
      </c>
      <c r="X82" s="4" t="str">
        <f t="shared" si="6"/>
        <v>RT_OC_003</v>
      </c>
    </row>
    <row r="83" outlineLevel="1">
      <c r="A83" s="1" t="s">
        <v>361</v>
      </c>
      <c r="B83" s="4" t="s">
        <v>362</v>
      </c>
      <c r="C83" s="5" t="s">
        <v>324</v>
      </c>
      <c r="D83" s="6" t="str">
        <f>IFERROR(__xludf.DUMMYFUNCTION("IF(ISBLANK(A83),"""",SWITCH(IF(T83="""",0,COUNTA(SPLIT(T83,"" ""))),0,""Generic"",1,TRIM(T83),2,""Multicolor"",3,""Multicolor"",4,""Multicolor"",5,""Multicolor"",6,""Multicolor"",7,""Multicolor"",8,""Multicolor""))"),"Orange")</f>
        <v>Orange</v>
      </c>
      <c r="E83" s="4" t="s">
        <v>79</v>
      </c>
      <c r="F83" s="4" t="s">
        <v>26</v>
      </c>
      <c r="G83" s="4" t="s">
        <v>363</v>
      </c>
      <c r="H83" s="5" t="s">
        <v>32</v>
      </c>
      <c r="I83" s="7" t="s">
        <v>364</v>
      </c>
      <c r="J83" s="3"/>
      <c r="K83" s="1">
        <v>4</v>
      </c>
      <c r="L83" s="1">
        <v>6</v>
      </c>
      <c r="O83" s="3"/>
      <c r="Q83" s="1">
        <v>50</v>
      </c>
      <c r="R83" s="1">
        <v>40</v>
      </c>
      <c r="S83" s="4" t="str">
        <f t="shared" si="4"/>
        <v>True</v>
      </c>
      <c r="T83" s="4" t="str">
        <f>IFERROR(__xludf.DUMMYFUNCTION("CONCATENATE(if(REGEXMATCH(C83,""R""),"" Red"",""""),if(REGEXMATCH(C83,""O""),"" Orange"",""""),if(REGEXMATCH(C83,""Y""),"" Yellow"",""""),if(REGEXMATCH(C83,""G""),"" Green"",""""),if(REGEXMATCH(C83,""B""),"" Blue"",""""),if(REGEXMATCH(C83,""P""),"" Purple"&amp;""",""""))")," Orange")</f>
        <v>Orange</v>
      </c>
      <c r="U83" s="4" t="str">
        <f>IFERROR(__xludf.DUMMYFUNCTION("TRIM(CONCAT(""[right]"", REGEXREPLACE(C83, ""([ROYGBPXZC_]|1?[0-9])"", ""[img=119]res://textures/icons/$0.png[/img]\\n"")))"),"[right][img=119]res://textures/icons/O.png[/img]\n")</f>
        <v>[right][img=119]res://textures/icons/O.png[/img]\n</v>
      </c>
      <c r="V83" s="4" t="str">
        <f>IFERROR(__xludf.DUMMYFUNCTION("SUBSTITUTE(SUBSTITUTE(SUBSTITUTE(SUBSTITUTE(REGEXREPLACE(SUBSTITUTE(SUBSTITUTE(SUBSTITUTE(SUBSTITUTE(REGEXREPLACE(I83, ""(\[([ROYGBPTQUXZC_]|1?[0-9])\])"", ""[img=45]res://textures/icons/$2.png[/img]""),""--"",""—""),""-&gt;"",""•""),""~@"", CONCATENATE(""[i"&amp;"]"",REGEXEXTRACT(B83,""^([\s\S]*),|$""),""[/i]"")),""~"", CONCATENATE(""[i]"",B83,""[/i]"")),""(\([\s\S]*?\))"",""[i][color=#34343A]$0[/color][/i]""), ""&lt;"", ""[""), ""&gt;"", ""]""), ""[/p][p]"", ""[font_size=15]\n\n[/font_size]""), ""[br/]"", ""\n"")"),"[center][u]Doubt 2[/u] [i][color=#34343A](When you deploy [i]Disgruntled Employee[/i], shuffle 2 'Doubt's into your deck.)[/color][/i][/center][p]Disgruntled Employee enters the battlefield exhausted.[/p]")</f>
        <v xml:space="preserve">[center][u]Doubt 2[/u] [i][color=#34343A](When you deploy [i]Disgruntled Employee[/i], shuffle 2 'Doubt's into your deck.)[/color][/i][/center][p]Disgruntled Employee enters the battlefield exhausted.[/p]</v>
      </c>
      <c r="W83" s="4" t="str">
        <f t="shared" si="5"/>
        <v>[i]Asset[/i]</v>
      </c>
      <c r="X83" s="4" t="str">
        <f t="shared" si="6"/>
        <v>RT_OC_004</v>
      </c>
    </row>
    <row r="84" outlineLevel="1">
      <c r="A84" s="1" t="s">
        <v>365</v>
      </c>
      <c r="B84" s="4" t="s">
        <v>366</v>
      </c>
      <c r="C84" s="5" t="s">
        <v>340</v>
      </c>
      <c r="D84" s="6" t="str">
        <f>IFERROR(__xludf.DUMMYFUNCTION("IF(ISBLANK(A84),"""",SWITCH(IF(T84="""",0,COUNTA(SPLIT(T84,"" ""))),0,""Generic"",1,TRIM(T84),2,""Multicolor"",3,""Multicolor"",4,""Multicolor"",5,""Multicolor"",6,""Multicolor"",7,""Multicolor"",8,""Multicolor""))"),"Orange")</f>
        <v>Orange</v>
      </c>
      <c r="E84" s="4"/>
      <c r="F84" s="4" t="s">
        <v>33</v>
      </c>
      <c r="G84" s="4"/>
      <c r="H84" s="5" t="s">
        <v>44</v>
      </c>
      <c r="I84" s="7" t="s">
        <v>367</v>
      </c>
      <c r="J84" s="3"/>
      <c r="O84" s="3"/>
      <c r="Q84" s="1">
        <v>60</v>
      </c>
      <c r="R84" s="1">
        <v>50</v>
      </c>
      <c r="S84" s="4" t="str">
        <f t="shared" si="4"/>
        <v>False</v>
      </c>
      <c r="T84" s="4" t="str">
        <f>IFERROR(__xludf.DUMMYFUNCTION("CONCATENATE(if(REGEXMATCH(C84,""R""),"" Red"",""""),if(REGEXMATCH(C84,""O""),"" Orange"",""""),if(REGEXMATCH(C84,""Y""),"" Yellow"",""""),if(REGEXMATCH(C84,""G""),"" Green"",""""),if(REGEXMATCH(C84,""B""),"" Blue"",""""),if(REGEXMATCH(C84,""P""),"" Purple"&amp;""",""""))")," Orange")</f>
        <v>Orange</v>
      </c>
      <c r="U84" s="4" t="str">
        <f>IFERROR(__xludf.DUMMYFUNCTION("TRIM(CONCAT(""[right]"", REGEXREPLACE(C84, ""([ROYGBPXZC_]|1?[0-9])"", ""[img=119]res://textures/icons/$0.png[/img]\\n"")))"),"[right][img=119]res://textures/icons/1.png[/img]\n[img=119]res://textures/icons/O.png[/img]\n")</f>
        <v>[right][img=119]res://textures/icons/1.png[/img]\n[img=119]res://textures/icons/O.png[/img]\n</v>
      </c>
      <c r="V84" s="4" t="str">
        <f>IFERROR(__xludf.DUMMYFUNCTION("SUBSTITUTE(SUBSTITUTE(SUBSTITUTE(SUBSTITUTE(REGEXREPLACE(SUBSTITUTE(SUBSTITUTE(SUBSTITUTE(SUBSTITUTE(REGEXREPLACE(I84, ""(\[([ROYGBPTQUXZC_]|1?[0-9])\])"", ""[img=45]res://textures/icons/$2.png[/img]""),""--"",""—""),""-&gt;"",""•""),""~@"", CONCATENATE(""[i"&amp;"]"",REGEXEXTRACT(B84,""^([\s\S]*),|$""),""[/i]"")),""~"", CONCATENATE(""[i]"",B84,""[/i]"")),""(\([\s\S]*?\))"",""[i][color=#34343A]$0[/color][/i]""), ""&lt;"", ""[""), ""&gt;"", ""]""), ""[/p][p]"", ""[font_size=15]\n\n[/font_size]""), ""[br/]"", ""\n"")"),"[center][u]Warrant[/u] [i][color=#34343A](When you deploy [i]Arm the Mob[/i], shuffle an 'Incarceration' into your deck.)[/color][/i][/center][p]Choose an asset to permanently gain +1/+1 and [u]mob[/u] [i][color=#34343A](You may assign any number of mob c"&amp;"ombatants you control to a unit. Any number of your opponent's combatants may intercept these units. You, not your opponent, choose how combat damage is divided among the intercepted and intercepting mob units you control.)[/color][/i][/p]")</f>
        <v xml:space="preserve">[center][u]Warrant[/u] [i][color=#34343A](When you deploy [i]Arm the Mob[/i], shuffle an 'Incarceration' into your deck.)[/color][/i][/center][p]Choose an asset to permanently gain +1/+1 and [u]mob[/u] [i][color=#34343A](You may assign any number of mob combatants you control to a unit. Any number of your opponent's combatants may intercept these units. You, not your opponent, choose how combat damage is divided among the intercepted and intercepting mob units you control.)[/color][/i][/p]</v>
      </c>
      <c r="W84" s="4" t="str">
        <f t="shared" si="5"/>
        <v>[i]Effect[/i]</v>
      </c>
      <c r="X84" s="4" t="str">
        <f t="shared" si="6"/>
        <v>RT_OC_005</v>
      </c>
    </row>
    <row r="85" outlineLevel="1">
      <c r="A85" s="1" t="s">
        <v>368</v>
      </c>
      <c r="B85" s="4" t="s">
        <v>369</v>
      </c>
      <c r="C85" s="5" t="s">
        <v>324</v>
      </c>
      <c r="D85" s="6" t="str">
        <f>IFERROR(__xludf.DUMMYFUNCTION("IF(ISBLANK(A85),"""",SWITCH(IF(T85="""",0,COUNTA(SPLIT(T85,"" ""))),0,""Generic"",1,TRIM(T85),2,""Multicolor"",3,""Multicolor"",4,""Multicolor"",5,""Multicolor"",6,""Multicolor"",7,""Multicolor"",8,""Multicolor""))"),"Orange")</f>
        <v>Orange</v>
      </c>
      <c r="E85" s="4"/>
      <c r="F85" s="4" t="s">
        <v>33</v>
      </c>
      <c r="G85" s="4" t="s">
        <v>118</v>
      </c>
      <c r="H85" s="5" t="s">
        <v>44</v>
      </c>
      <c r="I85" s="7" t="s">
        <v>370</v>
      </c>
      <c r="J85" s="3"/>
      <c r="O85" s="3"/>
      <c r="Q85" s="1">
        <v>60</v>
      </c>
      <c r="R85" s="1">
        <v>50</v>
      </c>
      <c r="S85" s="4" t="str">
        <f t="shared" si="4"/>
        <v>False</v>
      </c>
      <c r="T85" s="4" t="str">
        <f>IFERROR(__xludf.DUMMYFUNCTION("CONCATENATE(if(REGEXMATCH(C85,""R""),"" Red"",""""),if(REGEXMATCH(C85,""O""),"" Orange"",""""),if(REGEXMATCH(C85,""Y""),"" Yellow"",""""),if(REGEXMATCH(C85,""G""),"" Green"",""""),if(REGEXMATCH(C85,""B""),"" Blue"",""""),if(REGEXMATCH(C85,""P""),"" Purple"&amp;""",""""))")," Orange")</f>
        <v>Orange</v>
      </c>
      <c r="U85" s="4" t="str">
        <f>IFERROR(__xludf.DUMMYFUNCTION("TRIM(CONCAT(""[right]"", REGEXREPLACE(C85, ""([ROYGBPXZC_]|1?[0-9])"", ""[img=119]res://textures/icons/$0.png[/img]\\n"")))"),"[right][img=119]res://textures/icons/O.png[/img]\n")</f>
        <v>[right][img=119]res://textures/icons/O.png[/img]\n</v>
      </c>
      <c r="V85" s="4" t="str">
        <f>IFERROR(__xludf.DUMMYFUNCTION("SUBSTITUTE(SUBSTITUTE(SUBSTITUTE(SUBSTITUTE(REGEXREPLACE(SUBSTITUTE(SUBSTITUTE(SUBSTITUTE(SUBSTITUTE(REGEXREPLACE(I85, ""(\[([ROYGBPTQUXZC_]|1?[0-9])\])"", ""[img=45]res://textures/icons/$2.png[/img]""),""--"",""—""),""-&gt;"",""•""),""~@"", CONCATENATE(""[i"&amp;"]"",REGEXEXTRACT(B85,""^([\s\S]*),|$""),""[/i]"")),""~"", CONCATENATE(""[i]"",B85,""[/i]"")),""(\([\s\S]*?\))"",""[i][color=#34343A]$0[/color][/i]""), ""&lt;"", ""[""), ""&gt;"", ""]""), ""[/p][p]"", ""[font_size=15]\n\n[/font_size]""), ""[br/]"", ""\n"")"),"Swap the order of the 2 triggers and/or cards on the stack before this card.")</f>
        <v xml:space="preserve">Swap the order of the 2 triggers and/or cards on the stack before this card.</v>
      </c>
      <c r="W85" s="4" t="str">
        <f t="shared" si="5"/>
        <v>[i]Effect[/i]</v>
      </c>
      <c r="X85" s="4" t="str">
        <f t="shared" si="6"/>
        <v>RT_OC_006</v>
      </c>
    </row>
    <row r="86" outlineLevel="1">
      <c r="A86" s="1" t="s">
        <v>371</v>
      </c>
      <c r="B86" s="4" t="s">
        <v>372</v>
      </c>
      <c r="C86" s="5" t="s">
        <v>306</v>
      </c>
      <c r="D86" s="6" t="str">
        <f>IFERROR(__xludf.DUMMYFUNCTION("IF(ISBLANK(A86),"""",SWITCH(IF(T86="""",0,COUNTA(SPLIT(T86,"" ""))),0,""Generic"",1,TRIM(T86),2,""Multicolor"",3,""Multicolor"",4,""Multicolor"",5,""Multicolor"",6,""Multicolor"",7,""Multicolor"",8,""Multicolor""))"),"Orange")</f>
        <v>Orange</v>
      </c>
      <c r="E86" s="4"/>
      <c r="F86" s="4" t="s">
        <v>33</v>
      </c>
      <c r="G86" s="4" t="s">
        <v>118</v>
      </c>
      <c r="H86" s="5" t="s">
        <v>44</v>
      </c>
      <c r="I86" s="7" t="s">
        <v>373</v>
      </c>
      <c r="J86" s="7" t="s">
        <v>374</v>
      </c>
      <c r="O86" s="3"/>
      <c r="Q86" s="1">
        <v>50</v>
      </c>
      <c r="R86" s="1">
        <v>50</v>
      </c>
      <c r="S86" s="4" t="str">
        <f t="shared" si="4"/>
        <v>False</v>
      </c>
      <c r="T86" s="4" t="str">
        <f>IFERROR(__xludf.DUMMYFUNCTION("CONCATENATE(if(REGEXMATCH(C86,""R""),"" Red"",""""),if(REGEXMATCH(C86,""O""),"" Orange"",""""),if(REGEXMATCH(C86,""Y""),"" Yellow"",""""),if(REGEXMATCH(C86,""G""),"" Green"",""""),if(REGEXMATCH(C86,""B""),"" Blue"",""""),if(REGEXMATCH(C86,""P""),"" Purple"&amp;""",""""))")," Orange")</f>
        <v>Orange</v>
      </c>
      <c r="U86" s="4" t="str">
        <f>IFERROR(__xludf.DUMMYFUNCTION("TRIM(CONCAT(""[right]"", REGEXREPLACE(C86, ""([ROYGBPXZC_]|1?[0-9])"", ""[img=119]res://textures/icons/$0.png[/img]\\n"")))"),"[right][img=119]res://textures/icons/3.png[/img]\n[img=119]res://textures/icons/O.png[/img]\n")</f>
        <v>[right][img=119]res://textures/icons/3.png[/img]\n[img=119]res://textures/icons/O.png[/img]\n</v>
      </c>
      <c r="V86" s="4" t="str">
        <f>IFERROR(__xludf.DUMMYFUNCTION("SUBSTITUTE(SUBSTITUTE(SUBSTITUTE(SUBSTITUTE(REGEXREPLACE(SUBSTITUTE(SUBSTITUTE(SUBSTITUTE(SUBSTITUTE(REGEXREPLACE(I86, ""(\[([ROYGBPTQUXZC_]|1?[0-9])\])"", ""[img=45]res://textures/icons/$2.png[/img]""),""--"",""—""),""-&gt;"",""•""),""~@"", CONCATENATE(""[i"&amp;"]"",REGEXEXTRACT(B86,""^([\s\S]*),|$""),""[/i]"")),""~"", CONCATENATE(""[i]"",B86,""[/i]"")),""(\([\s\S]*?\))"",""[i][color=#34343A]$0[/color][/i]""), ""&lt;"", ""[""), ""&gt;"", ""]""), ""[/p][p]"", ""[font_size=15]\n\n[/font_size]""), ""[br/]"", ""\n"")"),"[center][u]Retribution[/u] [i][color=#34343A](When you draw [i]Production Layoffs[/i] as a result of taking damage, you may deploy it without paying its cost.)[/color][/i][/center][p]Choose a generator, return it to its owner's hand.[/p]")</f>
        <v xml:space="preserve">[center][u]Retribution[/u] [i][color=#34343A](When you draw [i]Production Layoffs[/i] as a result of taking damage, you may deploy it without paying its cost.)[/color][/i][/center][p]Choose a generator, return it to its owner's hand.[/p]</v>
      </c>
      <c r="W86" s="4" t="str">
        <f t="shared" si="5"/>
        <v>[i]Effect[/i]</v>
      </c>
      <c r="X86" s="4" t="str">
        <f t="shared" si="6"/>
        <v>RT_OC_007</v>
      </c>
    </row>
    <row r="87" outlineLevel="1">
      <c r="A87" s="1" t="s">
        <v>375</v>
      </c>
      <c r="B87" s="1" t="s">
        <v>376</v>
      </c>
      <c r="C87" s="2" t="s">
        <v>297</v>
      </c>
      <c r="D87" s="6" t="str">
        <f>IFERROR(__xludf.DUMMYFUNCTION("IF(EQ(A78,B87),"""",SWITCH(IF(T78="""",0,COUNTA(SPLIT(T78,"" ""))),0,""Generic"",1,TRIM(T78),2,""Multicolor"",3,""Multicolor"",4,""Multicolor"",5,""Multicolor"",6,""Multicolor"",7,""Multicolor"",8,""Multicolor""))"),"Orange")</f>
        <v>Orange</v>
      </c>
      <c r="E87" s="1" t="s">
        <v>51</v>
      </c>
      <c r="F87" s="1" t="s">
        <v>26</v>
      </c>
      <c r="G87" s="1" t="s">
        <v>377</v>
      </c>
      <c r="H87" s="2" t="s">
        <v>134</v>
      </c>
      <c r="I87" s="3" t="s">
        <v>357</v>
      </c>
      <c r="J87" s="3"/>
      <c r="K87" s="1">
        <v>13</v>
      </c>
      <c r="L87" s="1">
        <v>5</v>
      </c>
      <c r="O87" s="3"/>
      <c r="Q87" s="1">
        <v>50</v>
      </c>
      <c r="R87" s="1">
        <v>35</v>
      </c>
      <c r="S87" s="4" t="str">
        <f t="shared" si="4"/>
        <v>True</v>
      </c>
      <c r="T87" s="4" t="str">
        <f>IFERROR(__xludf.DUMMYFUNCTION("CONCATENATE(if(REGEXMATCH(C87,""R""),"" Red"",""""),if(REGEXMATCH(C87,""O""),"" Orange"",""""),if(REGEXMATCH(C87,""Y""),"" Yellow"",""""),if(REGEXMATCH(C87,""G""),"" Green"",""""),if(REGEXMATCH(C87,""B""),"" Blue"",""""),if(REGEXMATCH(C87,""P""),"" Purple"&amp;""",""""))")," Orange")</f>
        <v>Orange</v>
      </c>
      <c r="U87" s="4" t="str">
        <f>IFERROR(__xludf.DUMMYFUNCTION("TRIM(CONCAT(""[right]"", REGEXREPLACE(C87, ""([ROYGBPXZC_]|1?[0-9])"", ""[img=119]res://textures/icons/$0.png[/img]\\n"")))"),"[right][img=119]res://textures/icons/3.png[/img]\n[img=119]res://textures/icons/O.png[/img]\n[img=119]res://textures/icons/O.png[/img]\n")</f>
        <v>[right][img=119]res://textures/icons/3.png[/img]\n[img=119]res://textures/icons/O.png[/img]\n[img=119]res://textures/icons/O.png[/img]\n</v>
      </c>
      <c r="V87" s="4" t="str">
        <f>IFERROR(__xludf.DUMMYFUNCTION("SUBSTITUTE(SUBSTITUTE(SUBSTITUTE(SUBSTITUTE(REGEXREPLACE(SUBSTITUTE(SUBSTITUTE(SUBSTITUTE(SUBSTITUTE(REGEXREPLACE(I87, ""(\[([ROYGBPTQUXZC_]|1?[0-9])\])"", ""[img=45]res://textures/icons/$2.png[/img]""),""--"",""—""),""-&gt;"",""•""),""~@"", CONCATENATE(""[i"&amp;"]"",REGEXEXTRACT(B87,""^([\s\S]*),|$""),""[/i]"")),""~"", CONCATENATE(""[i]"",B87,""[/i]"")),""(\([\s\S]*?\))"",""[i][color=#34343A]$0[/color][/i]""), ""&lt;"", ""[""), ""&gt;"", ""]""), ""[/p][p]"", ""[font_size=15]\n\n[/font_size]""), ""[br/]"", ""\n"")"),"[center][u]Reckless[/u] [i][color=#34343A]([i]Reckless Assaulter[/i] can't intercept.)[/color][/i][/center]")</f>
        <v xml:space="preserve">[center][u]Reckless[/u] [i][color=#34343A]([i]Reckless Assaulter[/i] can't intercept.)[/color][/i][/center]</v>
      </c>
      <c r="W87" s="4" t="str">
        <f t="shared" si="5"/>
        <v>[i]Asset[/i]</v>
      </c>
      <c r="X87" s="4" t="str">
        <f t="shared" si="6"/>
        <v>RT_OC_008</v>
      </c>
    </row>
    <row r="88" outlineLevel="1">
      <c r="A88" s="1" t="s">
        <v>378</v>
      </c>
      <c r="B88" s="1" t="s">
        <v>379</v>
      </c>
      <c r="C88" s="2" t="s">
        <v>324</v>
      </c>
      <c r="D88" s="6" t="str">
        <f>IFERROR(__xludf.DUMMYFUNCTION("IF(EQ(A88,B88),"""",SWITCH(IF(T88="""",0,COUNTA(SPLIT(T88,"" ""))),0,""Generic"",1,TRIM(T88),2,""Multicolor"",3,""Multicolor"",4,""Multicolor"",5,""Multicolor"",6,""Multicolor"",7,""Multicolor"",8,""Multicolor""))"),"Orange")</f>
        <v>Orange</v>
      </c>
      <c r="E88" s="1" t="s">
        <v>51</v>
      </c>
      <c r="F88" s="1" t="s">
        <v>26</v>
      </c>
      <c r="G88" s="1" t="s">
        <v>380</v>
      </c>
      <c r="H88" s="2" t="s">
        <v>50</v>
      </c>
      <c r="J88" s="3"/>
      <c r="K88" s="1">
        <v>5</v>
      </c>
      <c r="L88" s="1">
        <v>2</v>
      </c>
      <c r="O88" s="3"/>
      <c r="Q88" s="1">
        <v>60</v>
      </c>
      <c r="R88" s="1">
        <v>50</v>
      </c>
      <c r="S88" s="4" t="str">
        <f t="shared" si="4"/>
        <v>True</v>
      </c>
      <c r="T88" s="4" t="str">
        <f>IFERROR(__xludf.DUMMYFUNCTION("CONCATENATE(if(REGEXMATCH(C88,""R""),"" Red"",""""),if(REGEXMATCH(C88,""O""),"" Orange"",""""),if(REGEXMATCH(C88,""Y""),"" Yellow"",""""),if(REGEXMATCH(C88,""G""),"" Green"",""""),if(REGEXMATCH(C88,""B""),"" Blue"",""""),if(REGEXMATCH(C88,""P""),"" Purple"&amp;""",""""))")," Orange")</f>
        <v>Orange</v>
      </c>
      <c r="U88" s="4" t="str">
        <f>IFERROR(__xludf.DUMMYFUNCTION("TRIM(CONCAT(""[right]"", REGEXREPLACE(C88, ""([ROYGBPXZC_]|1?[0-9])"", ""[img=119]res://textures/icons/$0.png[/img]\\n"")))"),"[right][img=119]res://textures/icons/O.png[/img]\n")</f>
        <v>[right][img=119]res://textures/icons/O.png[/img]\n</v>
      </c>
      <c r="V88" s="4" t="str">
        <f>IFERROR(__xludf.DUMMYFUNCTION("SUBSTITUTE(SUBSTITUTE(SUBSTITUTE(SUBSTITUTE(REGEXREPLACE(SUBSTITUTE(SUBSTITUTE(SUBSTITUTE(SUBSTITUTE(REGEXREPLACE(I88, ""(\[([ROYGBPTQUXZC_]|1?[0-9])\])"", ""[img=45]res://textures/icons/$2.png[/img]""),""--"",""—""),""-&gt;"",""•""),""~@"", CONCATENATE(""[i"&amp;"]"",REGEXEXTRACT(B88,""^([\s\S]*),|$""),""[/i]"")),""~"", CONCATENATE(""[i]"",B88,""[/i]"")),""(\([\s\S]*?\))"",""[i][color=#34343A]$0[/color][/i]""), ""&lt;"", ""[""), ""&gt;"", ""]""), ""[/p][p]"", ""[font_size=15]\n\n[/font_size]""), ""[br/]"", ""\n"")"),"")</f>
        <v/>
      </c>
      <c r="W88" s="4" t="str">
        <f t="shared" si="5"/>
        <v>[i]Asset[/i]</v>
      </c>
      <c r="X88" s="4" t="str">
        <f t="shared" si="6"/>
        <v>RT_OC_009</v>
      </c>
    </row>
    <row r="89" outlineLevel="1">
      <c r="A89" s="1" t="s">
        <v>381</v>
      </c>
      <c r="B89" s="1" t="s">
        <v>382</v>
      </c>
      <c r="C89" s="2" t="s">
        <v>383</v>
      </c>
      <c r="D89" s="6" t="str">
        <f>IFERROR(__xludf.DUMMYFUNCTION("IF(EQ(A89,B89),"""",SWITCH(IF(T89="""",0,COUNTA(SPLIT(T89,"" ""))),0,""Generic"",1,TRIM(T89),2,""Multicolor"",3,""Multicolor"",4,""Multicolor"",5,""Multicolor"",6,""Multicolor"",7,""Multicolor"",8,""Multicolor""))"),"Orange")</f>
        <v>Orange</v>
      </c>
      <c r="E89" s="1" t="s">
        <v>51</v>
      </c>
      <c r="F89" s="1" t="s">
        <v>26</v>
      </c>
      <c r="G89" s="1" t="s">
        <v>345</v>
      </c>
      <c r="H89" s="2" t="s">
        <v>50</v>
      </c>
      <c r="I89" s="11" t="s">
        <v>357</v>
      </c>
      <c r="J89" s="3"/>
      <c r="K89" s="1">
        <v>6</v>
      </c>
      <c r="L89" s="1">
        <v>2</v>
      </c>
      <c r="O89" s="3"/>
      <c r="Q89" s="1">
        <v>60</v>
      </c>
      <c r="R89" s="1">
        <v>40</v>
      </c>
      <c r="S89" s="4" t="str">
        <f t="shared" si="4"/>
        <v>True</v>
      </c>
      <c r="T89" s="4" t="str">
        <f>IFERROR(__xludf.DUMMYFUNCTION("CONCATENATE(if(REGEXMATCH(C89,""R""),"" Red"",""""),if(REGEXMATCH(C89,""O""),"" Orange"",""""),if(REGEXMATCH(C89,""Y""),"" Yellow"",""""),if(REGEXMATCH(C89,""G""),"" Green"",""""),if(REGEXMATCH(C89,""B""),"" Blue"",""""),if(REGEXMATCH(C89,""P""),"" Purple"&amp;""",""""))")," Orange")</f>
        <v>Orange</v>
      </c>
      <c r="U89" s="4" t="str">
        <f>IFERROR(__xludf.DUMMYFUNCTION("TRIM(CONCAT(""[right]"", REGEXREPLACE(C89, ""([ROYGBPXZC_]|1?[0-9])"", ""[img=119]res://textures/icons/$0.png[/img]\\n"")))"),"[right][img=119]res://textures/icons/1.png[/img]\n[img=119]res://textures/icons/O.png[/img]\n[img=119]res://textures/icons/O.png[/img]\n")</f>
        <v>[right][img=119]res://textures/icons/1.png[/img]\n[img=119]res://textures/icons/O.png[/img]\n[img=119]res://textures/icons/O.png[/img]\n</v>
      </c>
      <c r="V89" s="4" t="str">
        <f>IFERROR(__xludf.DUMMYFUNCTION("SUBSTITUTE(SUBSTITUTE(SUBSTITUTE(SUBSTITUTE(REGEXREPLACE(SUBSTITUTE(SUBSTITUTE(SUBSTITUTE(SUBSTITUTE(REGEXREPLACE(I89, ""(\[([ROYGBPTQUXZC_]|1?[0-9])\])"", ""[img=45]res://textures/icons/$2.png[/img]""),""--"",""—""),""-&gt;"",""•""),""~@"", CONCATENATE(""[i"&amp;"]"",REGEXEXTRACT(B89,""^([\s\S]*),|$""),""[/i]"")),""~"", CONCATENATE(""[i]"",B89,""[/i]"")),""(\([\s\S]*?\))"",""[i][color=#34343A]$0[/color][/i]""), ""&lt;"", ""[""), ""&gt;"", ""]""), ""[/p][p]"", ""[font_size=15]\n\n[/font_size]""), ""[br/]"", ""\n"")"),"[center][u]Reckless[/u] [i][color=#34343A]([i]Delta Operative[/i] can't intercept.)[/color][/i][/center]")</f>
        <v xml:space="preserve">[center][u]Reckless[/u] [i][color=#34343A]([i]Delta Operative[/i] can't intercept.)[/color][/i][/center]</v>
      </c>
      <c r="W89" s="4" t="str">
        <f t="shared" si="5"/>
        <v>[i]Asset[/i]</v>
      </c>
      <c r="X89" s="4" t="str">
        <f t="shared" si="6"/>
        <v>RT_OC_010</v>
      </c>
    </row>
    <row r="90" outlineLevel="1">
      <c r="A90" s="1" t="s">
        <v>384</v>
      </c>
      <c r="B90" s="1" t="str">
        <f t="shared" si="3"/>
        <v>OC_011</v>
      </c>
      <c r="O90" s="3"/>
      <c r="Q90" s="1">
        <v>60</v>
      </c>
      <c r="R90" s="1">
        <v>50</v>
      </c>
      <c r="S90" s="4" t="str">
        <f t="shared" si="4"/>
        <v>False</v>
      </c>
      <c r="T90" s="4" t="str">
        <f>IFERROR(__xludf.DUMMYFUNCTION("CONCATENATE(if(REGEXMATCH(C90,""R""),"" Red"",""""),if(REGEXMATCH(C90,""O""),"" Orange"",""""),if(REGEXMATCH(C90,""Y""),"" Yellow"",""""),if(REGEXMATCH(C90,""G""),"" Green"",""""),if(REGEXMATCH(C90,""B""),"" Blue"",""""),if(REGEXMATCH(C90,""P""),"" Purple"&amp;""",""""))"),"")</f>
        <v/>
      </c>
      <c r="U90" s="4" t="str">
        <f>IFERROR(__xludf.DUMMYFUNCTION("TRIM(CONCAT(""[right]"", REGEXREPLACE(C90, ""([ROYGBPXZC_]|1?[0-9])"", ""[img=119]res://textures/icons/$0.png[/img]\\n"")))"),"[right]")</f>
        <v>[right]</v>
      </c>
      <c r="V90" s="4" t="str">
        <f>IFERROR(__xludf.DUMMYFUNCTION("SUBSTITUTE(SUBSTITUTE(SUBSTITUTE(SUBSTITUTE(REGEXREPLACE(SUBSTITUTE(SUBSTITUTE(SUBSTITUTE(SUBSTITUTE(REGEXREPLACE(I90, ""(\[([ROYGBPTQUXZC_]|1?[0-9])\])"", ""[img=45]res://textures/icons/$2.png[/img]""),""--"",""—""),""-&gt;"",""•""),""~@"", CONCATENATE(""[i"&amp;"]"",REGEXEXTRACT(B90,""^([\s\S]*),|$""),""[/i]"")),""~"", CONCATENATE(""[i]"",B90,""[/i]"")),""(\([\s\S]*?\))"",""[i][color=#34343A]$0[/color][/i]""), ""&lt;"", ""[""), ""&gt;"", ""]""), ""[/p][p]"", ""[font_size=15]\n\n[/font_size]""), ""[br/]"", ""\n"")"),"")</f>
        <v/>
      </c>
      <c r="W90" s="4" t="str">
        <f t="shared" si="5"/>
        <v>[i][/i]</v>
      </c>
      <c r="X90" s="4" t="str">
        <f t="shared" si="6"/>
        <v>0</v>
      </c>
    </row>
    <row r="91" outlineLevel="1">
      <c r="A91" s="1" t="s">
        <v>385</v>
      </c>
      <c r="B91" s="1" t="str">
        <f t="shared" si="3"/>
        <v>OC_012</v>
      </c>
      <c r="C91" s="2"/>
      <c r="D91" s="6" t="str">
        <f>IFERROR(__xludf.DUMMYFUNCTION("IF(EQ(A91,B91),"""",SWITCH(IF(T91="""",0,COUNTA(SPLIT(T91,"" ""))),0,""Generic"",1,TRIM(T91),2,""Multicolor"",3,""Multicolor"",4,""Multicolor"",5,""Multicolor"",6,""Multicolor"",7,""Multicolor"",8,""Multicolor""))"),"")</f>
        <v/>
      </c>
      <c r="E91" s="1"/>
      <c r="F91" s="1"/>
      <c r="H91" s="2"/>
      <c r="I91" s="3"/>
      <c r="J91" s="3"/>
      <c r="O91" s="3"/>
      <c r="Q91" s="1">
        <v>60</v>
      </c>
      <c r="R91" s="1">
        <v>50</v>
      </c>
      <c r="S91" s="4" t="str">
        <f t="shared" si="4"/>
        <v>False</v>
      </c>
      <c r="T91" s="4" t="str">
        <f>IFERROR(__xludf.DUMMYFUNCTION("CONCATENATE(if(REGEXMATCH(C91,""R""),"" Red"",""""),if(REGEXMATCH(C91,""O""),"" Orange"",""""),if(REGEXMATCH(C91,""Y""),"" Yellow"",""""),if(REGEXMATCH(C91,""G""),"" Green"",""""),if(REGEXMATCH(C91,""B""),"" Blue"",""""),if(REGEXMATCH(C91,""P""),"" Purple"&amp;""",""""))"),"")</f>
        <v/>
      </c>
      <c r="U91" s="4" t="str">
        <f>IFERROR(__xludf.DUMMYFUNCTION("TRIM(CONCAT(""[right]"", REGEXREPLACE(C91, ""([ROYGBPXZC_]|1?[0-9])"", ""[img=119]res://textures/icons/$0.png[/img]\\n"")))"),"[right]")</f>
        <v>[right]</v>
      </c>
      <c r="V91" s="4" t="str">
        <f>IFERROR(__xludf.DUMMYFUNCTION("SUBSTITUTE(SUBSTITUTE(SUBSTITUTE(SUBSTITUTE(REGEXREPLACE(SUBSTITUTE(SUBSTITUTE(SUBSTITUTE(SUBSTITUTE(REGEXREPLACE(I91, ""(\[([ROYGBPTQUXZC_]|1?[0-9])\])"", ""[img=45]res://textures/icons/$2.png[/img]""),""--"",""—""),""-&gt;"",""•""),""~@"", CONCATENATE(""[i"&amp;"]"",REGEXEXTRACT(B91,""^([\s\S]*),|$""),""[/i]"")),""~"", CONCATENATE(""[i]"",B91,""[/i]"")),""(\([\s\S]*?\))"",""[i][color=#34343A]$0[/color][/i]""), ""&lt;"", ""[""), ""&gt;"", ""]""), ""[/p][p]"", ""[font_size=15]\n\n[/font_size]""), ""[br/]"", ""\n"")"),"")</f>
        <v/>
      </c>
      <c r="W91" s="4" t="str">
        <f t="shared" si="5"/>
        <v>[i][/i]</v>
      </c>
      <c r="X91" s="4" t="str">
        <f t="shared" si="6"/>
        <v>0</v>
      </c>
    </row>
    <row r="92">
      <c r="A92" s="1" t="s">
        <v>386</v>
      </c>
      <c r="B92" s="1" t="s">
        <v>387</v>
      </c>
      <c r="C92" s="5" t="s">
        <v>306</v>
      </c>
      <c r="D92" s="6" t="str">
        <f>IFERROR(__xludf.DUMMYFUNCTION("IF(EQ(A92,B92),"""",SWITCH(IF(T92="""",0,COUNTA(SPLIT(T92,"" ""))),0,""Generic"",1,TRIM(T92),2,""Multicolor"",3,""Multicolor"",4,""Multicolor"",5,""Multicolor"",6,""Multicolor"",7,""Multicolor"",8,""Multicolor""))"),"Orange")</f>
        <v>Orange</v>
      </c>
      <c r="E92" s="4" t="s">
        <v>79</v>
      </c>
      <c r="F92" s="4" t="s">
        <v>73</v>
      </c>
      <c r="G92" s="4" t="s">
        <v>302</v>
      </c>
      <c r="H92" s="5" t="s">
        <v>81</v>
      </c>
      <c r="I92" s="7" t="s">
        <v>388</v>
      </c>
      <c r="J92" s="3" t="s">
        <v>389</v>
      </c>
      <c r="K92" s="1">
        <v>6</v>
      </c>
      <c r="L92" s="1">
        <v>7</v>
      </c>
      <c r="O92" s="3" t="s">
        <v>390</v>
      </c>
      <c r="Q92" s="1">
        <v>45</v>
      </c>
      <c r="R92" s="1">
        <v>35</v>
      </c>
      <c r="S92" s="4" t="str">
        <f t="shared" si="4"/>
        <v>True</v>
      </c>
      <c r="T92" s="4" t="str">
        <f>IFERROR(__xludf.DUMMYFUNCTION("CONCATENATE(if(REGEXMATCH(C92,""R""),"" Red"",""""),if(REGEXMATCH(C92,""O""),"" Orange"",""""),if(REGEXMATCH(C92,""Y""),"" Yellow"",""""),if(REGEXMATCH(C92,""G""),"" Green"",""""),if(REGEXMATCH(C92,""B""),"" Blue"",""""),if(REGEXMATCH(C92,""P""),"" Purple"&amp;""",""""))")," Orange")</f>
        <v>Orange</v>
      </c>
      <c r="U92" s="4" t="str">
        <f>IFERROR(__xludf.DUMMYFUNCTION("TRIM(CONCAT(""[right]"", REGEXREPLACE(C92, ""([ROYGBPXZC_]|1?[0-9])"", ""[img=119]res://textures/icons/$0.png[/img]\\n"")))"),"[right][img=119]res://textures/icons/3.png[/img]\n[img=119]res://textures/icons/O.png[/img]\n")</f>
        <v>[right][img=119]res://textures/icons/3.png[/img]\n[img=119]res://textures/icons/O.png[/img]\n</v>
      </c>
      <c r="V92" s="4" t="str">
        <f>IFERROR(__xludf.DUMMYFUNCTION("SUBSTITUTE(SUBSTITUTE(SUBSTITUTE(SUBSTITUTE(REGEXREPLACE(SUBSTITUTE(SUBSTITUTE(SUBSTITUTE(SUBSTITUTE(REGEXREPLACE(I92, ""(\[([ROYGBPTQUXZC_]|1?[0-9])\])"", ""[img=45]res://textures/icons/$2.png[/img]""),""--"",""—""),""-&gt;"",""•""),""~@"", CONCATENATE(""[i"&amp;"]"",REGEXEXTRACT(B92,""^([\s\S]*),|$""),""[/i]"")),""~"", CONCATENATE(""[i]"",B92,""[/i]"")),""(\([\s\S]*?\))"",""[i][color=#34343A]$0[/color][/i]""), ""&lt;"", ""[""), ""&gt;"", ""]""), ""[/p][p]"", ""[font_size=15]\n\n[/font_size]""), ""[br/]"", ""\n"")"),"[center][i][color=#34343A](Becomes [i]'Sara's Quest'[/i] if you already control [i]Sara Anthony, Master of Disguise[/i].)[/color][/i]\n[u]Warrant[/u][/center][p][b][i]As Commander[/i] —[/b] Once each game, at the beginning of one of your turns, you may ch"&amp;"oose a combatant; transform it into a copy of another combatant with an equal or lesser [u]generalized cost[/u].[font_size=15]\n\n[/font_size][b][i]As Asset[/i] —[/b] Sara Anthony may enter the battlefield as a copy of another combatant of your choice.[/p"&amp;"]")</f>
        <v xml:space="preserve">[center][i][color=#34343A](Becomes [i]'Sara's Quest'[/i] if you already control [i]Sara Anthony, Master of Disguise[/i].)[/color][/i]\n[u]Warrant[/u][/center][p][b][i]As Commander[/i] —[/b] Once each game, at the beginning of one of your turns, you may choose a combatant; transform it into a copy of another combatant with an equal or lesser [u]generalized cost[/u].[font_size=15]\n\n[/font_size][b][i]As Asset[/i] —[/b] Sara Anthony may enter the battlefield as a copy of another combatant of your choice.[/p]</v>
      </c>
      <c r="W92" s="4" t="str">
        <f t="shared" si="5"/>
        <v>[i]Commander[/i]</v>
      </c>
      <c r="X92" s="4" t="str">
        <f t="shared" si="6"/>
        <v>RT_O_CMDR_2</v>
      </c>
    </row>
    <row r="93" outlineLevel="1">
      <c r="A93" s="1" t="s">
        <v>391</v>
      </c>
      <c r="B93" s="4" t="s">
        <v>392</v>
      </c>
      <c r="C93" s="5" t="s">
        <v>393</v>
      </c>
      <c r="D93" s="6" t="str">
        <f>IFERROR(__xludf.DUMMYFUNCTION("IF(EQ(A93,B93),"""",SWITCH(IF(T93="""",0,COUNTA(SPLIT(T93,"" ""))),0,""Generic"",1,TRIM(T93),2,""Multicolor"",3,""Multicolor"",4,""Multicolor"",5,""Multicolor"",6,""Multicolor"",7,""Multicolor"",8,""Multicolor""))"),"Orange")</f>
        <v>Orange</v>
      </c>
      <c r="E93" s="4"/>
      <c r="F93" s="4" t="s">
        <v>87</v>
      </c>
      <c r="G93" s="4" t="s">
        <v>88</v>
      </c>
      <c r="H93" s="5" t="s">
        <v>25</v>
      </c>
      <c r="I93" s="7" t="s">
        <v>394</v>
      </c>
      <c r="J93" s="7" t="s">
        <v>395</v>
      </c>
      <c r="O93" s="3"/>
      <c r="Q93" s="1">
        <v>60</v>
      </c>
      <c r="R93" s="1">
        <v>50</v>
      </c>
      <c r="S93" s="4" t="str">
        <f t="shared" si="4"/>
        <v>False</v>
      </c>
      <c r="T93" s="4" t="str">
        <f>IFERROR(__xludf.DUMMYFUNCTION("CONCATENATE(if(REGEXMATCH(C93,""R""),"" Red"",""""),if(REGEXMATCH(C93,""O""),"" Orange"",""""),if(REGEXMATCH(C93,""Y""),"" Yellow"",""""),if(REGEXMATCH(C93,""G""),"" Green"",""""),if(REGEXMATCH(C93,""B""),"" Blue"",""""),if(REGEXMATCH(C93,""P""),"" Purple"&amp;""",""""))")," Orange")</f>
        <v>Orange</v>
      </c>
      <c r="U93" s="4" t="str">
        <f>IFERROR(__xludf.DUMMYFUNCTION("TRIM(CONCAT(""[right]"", REGEXREPLACE(C93, ""([ROYGBPXZC_]|1?[0-9])"", ""[img=119]res://textures/icons/$0.png[/img]\\n"")))"),"[right][img=119]res://textures/icons/2.png[/img]\n[img=119]res://textures/icons/O.png[/img]\n[img=119]res://textures/icons/O.png[/img]\n")</f>
        <v>[right][img=119]res://textures/icons/2.png[/img]\n[img=119]res://textures/icons/O.png[/img]\n[img=119]res://textures/icons/O.png[/img]\n</v>
      </c>
      <c r="V93" s="4" t="str">
        <f>IFERROR(__xludf.DUMMYFUNCTION("SUBSTITUTE(SUBSTITUTE(SUBSTITUTE(SUBSTITUTE(REGEXREPLACE(SUBSTITUTE(SUBSTITUTE(SUBSTITUTE(SUBSTITUTE(REGEXREPLACE(I93, ""(\[([ROYGBPTQUXZC_]|1?[0-9])\])"", ""[img=45]res://textures/icons/$2.png[/img]""),""--"",""—""),""-&gt;"",""•""),""~@"", CONCATENATE(""[i"&amp;"]"",REGEXEXTRACT(B93,""^([\s\S]*),|$""),""[/i]"")),""~"", CONCATENATE(""[i]"",B93,""[/i]"")),""(\([\s\S]*?\))"",""[i][color=#34343A]$0[/color][/i]""), ""&lt;"", ""[""), ""&gt;"", ""]""), ""[/p][p]"", ""[font_size=15]\n\n[/font_size]""), ""[br/]"", ""\n"")"),"[center][i][color=#34343A](This effect can only be deployed if you control a renowned asset. Banked energy can't be spent to deploy renowned cards.)[/color][/i][/center][p]Search your deck for a card, put a copy of it into your hand, then shuffle your dec"&amp;"k.[font_size=15]\n\n[/font_size][u]Personal[/u] [i][color=#34343A](Shuffle [i]'Sara Anthony, Master of Disguise'[/i] into your deck.)[/color][/i][/p]")</f>
        <v xml:space="preserve">[center][i][color=#34343A](This effect can only be deployed if you control a renowned asset. Banked energy can't be spent to deploy renowned cards.)[/color][/i][/center][p]Search your deck for a card, put a copy of it into your hand, then shuffle your deck.[font_size=15]\n\n[/font_size][u]Personal[/u] [i][color=#34343A](Shuffle [i]'Sara Anthony, Master of Disguise'[/i] into your deck.)[/color][/i][/p]</v>
      </c>
      <c r="W93" s="4" t="str">
        <f t="shared" si="5"/>
        <v xml:space="preserve">[i]R. Effect[/i]</v>
      </c>
      <c r="X93" s="4" t="str">
        <f t="shared" si="6"/>
        <v>RT_O_CMDR_2b</v>
      </c>
    </row>
    <row r="94" outlineLevel="1">
      <c r="A94" s="1" t="s">
        <v>396</v>
      </c>
      <c r="B94" s="1" t="s">
        <v>397</v>
      </c>
      <c r="C94" s="2" t="s">
        <v>314</v>
      </c>
      <c r="D94" s="6" t="str">
        <f>IFERROR(__xludf.DUMMYFUNCTION("IF(EQ(A94,B94),"""",SWITCH(IF(T94="""",0,COUNTA(SPLIT(T94,"" ""))),0,""Generic"",1,TRIM(T94),2,""Multicolor"",3,""Multicolor"",4,""Multicolor"",5,""Multicolor"",6,""Multicolor"",7,""Multicolor"",8,""Multicolor""))"),"Orange")</f>
        <v>Orange</v>
      </c>
      <c r="E94" s="1"/>
      <c r="F94" s="1" t="s">
        <v>33</v>
      </c>
      <c r="G94" s="1" t="s">
        <v>118</v>
      </c>
      <c r="H94" s="2" t="s">
        <v>96</v>
      </c>
      <c r="I94" s="11" t="s">
        <v>398</v>
      </c>
      <c r="J94" s="3"/>
      <c r="O94" s="3"/>
      <c r="Q94" s="1">
        <v>60</v>
      </c>
      <c r="R94" s="1">
        <v>50</v>
      </c>
      <c r="S94" s="4" t="str">
        <f t="shared" si="4"/>
        <v>False</v>
      </c>
      <c r="T94" s="4" t="str">
        <f>IFERROR(__xludf.DUMMYFUNCTION("CONCATENATE(if(REGEXMATCH(C94,""R""),"" Red"",""""),if(REGEXMATCH(C94,""O""),"" Orange"",""""),if(REGEXMATCH(C94,""Y""),"" Yellow"",""""),if(REGEXMATCH(C94,""G""),"" Green"",""""),if(REGEXMATCH(C94,""B""),"" Blue"",""""),if(REGEXMATCH(C94,""P""),"" Purple"&amp;""",""""))")," Orange")</f>
        <v>Orange</v>
      </c>
      <c r="U94" s="4" t="str">
        <f>IFERROR(__xludf.DUMMYFUNCTION("TRIM(CONCAT(""[right]"", REGEXREPLACE(C94, ""([ROYGBPXZC_]|1?[0-9])"", ""[img=119]res://textures/icons/$0.png[/img]\\n"")))"),"[right][img=119]res://textures/icons/X.png[/img]\n[img=119]res://textures/icons/O.png[/img]\n")</f>
        <v>[right][img=119]res://textures/icons/X.png[/img]\n[img=119]res://textures/icons/O.png[/img]\n</v>
      </c>
      <c r="V94" s="4" t="str">
        <f>IFERROR(__xludf.DUMMYFUNCTION("SUBSTITUTE(SUBSTITUTE(SUBSTITUTE(SUBSTITUTE(REGEXREPLACE(SUBSTITUTE(SUBSTITUTE(SUBSTITUTE(SUBSTITUTE(REGEXREPLACE(I94, ""(\[([ROYGBPTQUXZC_]|1?[0-9])\])"", ""[img=45]res://textures/icons/$2.png[/img]""),""--"",""—""),""-&gt;"",""•""),""~@"", CONCATENATE(""[i"&amp;"]"",REGEXEXTRACT(B94,""^([\s\S]*),|$""),""[/i]"")),""~"", CONCATENATE(""[i]"",B94,""[/i]"")),""(\([\s\S]*?\))"",""[i][color=#34343A]$0[/color][/i]""), ""&lt;"", ""[""), ""&gt;"", ""]""), ""[/p][p]"", ""[font_size=15]\n\n[/font_size]""), ""[br/]"", ""\n"")"),"[p]Choose a combatant in your hand with [u]generalized cost[/u] [i][color=#34343A](The cost of the card if all typed symbols were replaced with generic numbers. E.x. Delta Operative has a generalized cost of [img=45]res://textures/icons/2.png[/img].)[/col"&amp;"or][/i] [img=45]res://textures/icons/X.png[/img] or less; put it into play intercepting an attacking combatant of your choice an opponent controls.[/p]")</f>
        <v xml:space="preserve">[p]Choose a combatant in your hand with [u]generalized cost[/u] [i][color=#34343A](The cost of the card if all typed symbols were replaced with generic numbers. E.x. Delta Operative has a generalized cost of [img=45]res://textures/icons/2.png[/img].)[/color][/i] [img=45]res://textures/icons/X.png[/img] or less; put it into play intercepting an attacking combatant of your choice an opponent controls.[/p]</v>
      </c>
      <c r="W94" s="4" t="str">
        <f t="shared" si="5"/>
        <v>[i]Effect[/i]</v>
      </c>
      <c r="X94" s="4" t="str">
        <f t="shared" si="6"/>
        <v>RT_OR_005</v>
      </c>
    </row>
    <row r="95" outlineLevel="1">
      <c r="A95" s="1" t="s">
        <v>399</v>
      </c>
      <c r="B95" s="1" t="s">
        <v>400</v>
      </c>
      <c r="C95" s="2" t="s">
        <v>401</v>
      </c>
      <c r="D95" s="6" t="str">
        <f>IFERROR(__xludf.DUMMYFUNCTION("IF(EQ(A95,B95),"""",SWITCH(IF(T95="""",0,COUNTA(SPLIT(T95,"" ""))),0,""Generic"",1,TRIM(T95),2,""Multicolor"",3,""Multicolor"",4,""Multicolor"",5,""Multicolor"",6,""Multicolor"",7,""Multicolor"",8,""Multicolor""))"),"Orange")</f>
        <v>Orange</v>
      </c>
      <c r="E95" s="1" t="s">
        <v>51</v>
      </c>
      <c r="F95" s="1" t="s">
        <v>26</v>
      </c>
      <c r="G95" s="1" t="s">
        <v>402</v>
      </c>
      <c r="H95" s="2" t="s">
        <v>81</v>
      </c>
      <c r="I95" s="3" t="s">
        <v>403</v>
      </c>
      <c r="J95" s="3"/>
      <c r="K95" s="1">
        <v>4</v>
      </c>
      <c r="L95" s="1">
        <v>4</v>
      </c>
      <c r="O95" s="3"/>
      <c r="Q95" s="1">
        <v>60</v>
      </c>
      <c r="R95" s="1">
        <v>35</v>
      </c>
      <c r="S95" s="4" t="str">
        <f t="shared" si="4"/>
        <v>True</v>
      </c>
      <c r="T95" s="4" t="str">
        <f>IFERROR(__xludf.DUMMYFUNCTION("CONCATENATE(if(REGEXMATCH(C95,""R""),"" Red"",""""),if(REGEXMATCH(C95,""O""),"" Orange"",""""),if(REGEXMATCH(C95,""Y""),"" Yellow"",""""),if(REGEXMATCH(C95,""G""),"" Green"",""""),if(REGEXMATCH(C95,""B""),"" Blue"",""""),if(REGEXMATCH(C95,""P""),"" Purple"&amp;""",""""))")," Orange")</f>
        <v>Orange</v>
      </c>
      <c r="U95" s="4" t="str">
        <f>IFERROR(__xludf.DUMMYFUNCTION("TRIM(CONCAT(""[right]"", REGEXREPLACE(C95, ""([ROYGBPXZC_]|1?[0-9])"", ""[img=119]res://textures/icons/$0.png[/img]\\n"")))"),"[right][img=119]res://textures/icons/O.png[/img]\n[img=119]res://textures/icons/O.png[/img]\n")</f>
        <v>[right][img=119]res://textures/icons/O.png[/img]\n[img=119]res://textures/icons/O.png[/img]\n</v>
      </c>
      <c r="V95" s="4" t="str">
        <f>IFERROR(__xludf.DUMMYFUNCTION("SUBSTITUTE(SUBSTITUTE(SUBSTITUTE(SUBSTITUTE(REGEXREPLACE(SUBSTITUTE(SUBSTITUTE(SUBSTITUTE(SUBSTITUTE(REGEXREPLACE(I95, ""(\[([ROYGBPTQUXZC_]|1?[0-9])\])"", ""[img=45]res://textures/icons/$2.png[/img]""),""--"",""—""),""-&gt;"",""•""),""~@"", CONCATENATE(""[i"&amp;"]"",REGEXEXTRACT(B95,""^([\s\S]*),|$""),""[/i]"")),""~"", CONCATENATE(""[i]"",B95,""[/i]"")),""(\([\s\S]*?\))"",""[i][color=#34343A]$0[/color][/i]""), ""&lt;"", ""[""), ""&gt;"", ""]""), ""[/p][p]"", ""[font_size=15]\n\n[/font_size]""), ""[br/]"", ""\n"")"),"[center][u]Response[/u] [i][color=#34343A]([i]Lurking Operative[/i] can be deployed during response phases.)[/color][/i], [u]Subterfuge[/u] [i][color=#34343A](Damage dealt by this card, doesn't cause your opponents to draw cards.)[/color][/i][/center][p]["&amp;"i]Lurking Operative[/i] can intercept as soon as it is deployed.[/p]")</f>
        <v xml:space="preserve">[center][u]Response[/u] [i][color=#34343A]([i]Lurking Operative[/i] can be deployed during response phases.)[/color][/i], [u]Subterfuge[/u] [i][color=#34343A](Damage dealt by this card, doesn't cause your opponents to draw cards.)[/color][/i][/center][p][i]Lurking Operative[/i] can intercept as soon as it is deployed.[/p]</v>
      </c>
      <c r="W95" s="4" t="str">
        <f t="shared" si="5"/>
        <v>[i]Asset[/i]</v>
      </c>
      <c r="X95" s="4" t="str">
        <f t="shared" si="6"/>
        <v>RT_OR_006</v>
      </c>
    </row>
    <row r="96" outlineLevel="1">
      <c r="A96" s="1" t="s">
        <v>404</v>
      </c>
      <c r="B96" s="1" t="s">
        <v>405</v>
      </c>
      <c r="C96" s="2" t="s">
        <v>406</v>
      </c>
      <c r="D96" s="6" t="str">
        <f>IFERROR(__xludf.DUMMYFUNCTION("IF(EQ(A96,B96),"""",SWITCH(IF(T96="""",0,COUNTA(SPLIT(T96,"" ""))),0,""Generic"",1,TRIM(T96),2,""Multicolor"",3,""Multicolor"",4,""Multicolor"",5,""Multicolor"",6,""Multicolor"",7,""Multicolor"",8,""Multicolor""))"),"Orange")</f>
        <v>Orange</v>
      </c>
      <c r="E96" s="1"/>
      <c r="F96" s="1" t="s">
        <v>26</v>
      </c>
      <c r="G96" s="1" t="s">
        <v>407</v>
      </c>
      <c r="H96" s="2" t="s">
        <v>81</v>
      </c>
      <c r="I96" s="3" t="s">
        <v>408</v>
      </c>
      <c r="J96" s="3"/>
      <c r="O96" s="3"/>
      <c r="Q96" s="1">
        <v>60</v>
      </c>
      <c r="R96" s="1">
        <v>35</v>
      </c>
      <c r="S96" s="4" t="str">
        <f t="shared" si="4"/>
        <v>False</v>
      </c>
      <c r="T96" s="4" t="str">
        <f>IFERROR(__xludf.DUMMYFUNCTION("CONCATENATE(if(REGEXMATCH(C96,""R""),"" Red"",""""),if(REGEXMATCH(C96,""O""),"" Orange"",""""),if(REGEXMATCH(C96,""Y""),"" Yellow"",""""),if(REGEXMATCH(C96,""G""),"" Green"",""""),if(REGEXMATCH(C96,""B""),"" Blue"",""""),if(REGEXMATCH(C96,""P""),"" Purple"&amp;""",""""))")," Orange")</f>
        <v>Orange</v>
      </c>
      <c r="U96" s="4" t="str">
        <f>IFERROR(__xludf.DUMMYFUNCTION("TRIM(CONCAT(""[right]"", REGEXREPLACE(C96, ""([ROYGBPXZC_]|1?[0-9])"", ""[img=119]res://textures/icons/$0.png[/img]\\n"")))"),"[right][img=119]res://textures/icons/X.png[/img]\n[img=119]res://textures/icons/X.png[/img]\n[img=119]res://textures/icons/O.png[/img]\n[img=119]res://textures/icons/O.png[/img]\n")</f>
        <v>[right][img=119]res://textures/icons/X.png[/img]\n[img=119]res://textures/icons/X.png[/img]\n[img=119]res://textures/icons/O.png[/img]\n[img=119]res://textures/icons/O.png[/img]\n</v>
      </c>
      <c r="V96" s="4" t="str">
        <f>IFERROR(__xludf.DUMMYFUNCTION("SUBSTITUTE(SUBSTITUTE(SUBSTITUTE(SUBSTITUTE(REGEXREPLACE(SUBSTITUTE(SUBSTITUTE(SUBSTITUTE(SUBSTITUTE(REGEXREPLACE(I96, ""(\[([ROYGBPTQUXZC_]|1?[0-9])\])"", ""[img=45]res://textures/icons/$2.png[/img]""),""--"",""—""),""-&gt;"",""•""),""~@"", CONCATENATE(""[i"&amp;"]"",REGEXEXTRACT(B96,""^([\s\S]*),|$""),""[/i]"")),""~"", CONCATENATE(""[i]"",B96,""[/i]"")),""(\([\s\S]*?\))"",""[i][color=#34343A]$0[/color][/i]""), ""&lt;"", ""[""), ""&gt;"", ""]""), ""[/p][p]"", ""[font_size=15]\n\n[/font_size]""), ""[br/]"", ""\n"")"),"[center][i][color=#34343A](When [i]Project Delta[/i] enters the battlefield or at the beginning of your turn, progress to the next phase unless the final phase has been reached.)[/color][/i][/center][p][b][i]1-3)[/i][/b] Choose a card in your hand with [u"&amp;"]generalized cost[/u] [img=45]res://textures/icons/X.png[/img] or less; deploy it without paying its cost.[font_size=15]\n\n[/font_size][b][i]Final)[/i][/b] If an opponent would lose the game, each opponent loses the game.[/p]")</f>
        <v xml:space="preserve">[center][i][color=#34343A](When [i]Project Delta[/i] enters the battlefield or at the beginning of your turn, progress to the next phase unless the final phase has been reached.)[/color][/i][/center][p][b][i]1-3)[/i][/b] Choose a card in your hand with [u]generalized cost[/u] [img=45]res://textures/icons/X.png[/img] or less; deploy it without paying its cost.[font_size=15]\n\n[/font_size][b][i]Final)[/i][/b] If an opponent would lose the game, each opponent loses the game.[/p]</v>
      </c>
      <c r="W96" s="4" t="str">
        <f t="shared" si="5"/>
        <v>[i]Asset[/i]</v>
      </c>
      <c r="X96" s="4" t="str">
        <f t="shared" si="6"/>
        <v>RT_OR_007</v>
      </c>
    </row>
    <row r="97" outlineLevel="1">
      <c r="A97" s="1" t="s">
        <v>409</v>
      </c>
      <c r="B97" s="1" t="s">
        <v>410</v>
      </c>
      <c r="C97" s="2" t="s">
        <v>324</v>
      </c>
      <c r="D97" s="6" t="str">
        <f>IFERROR(__xludf.DUMMYFUNCTION("IF(EQ(A97,B97),"""",SWITCH(IF(T97="""",0,COUNTA(SPLIT(T97,"" ""))),0,""Generic"",1,TRIM(T97),2,""Multicolor"",3,""Multicolor"",4,""Multicolor"",5,""Multicolor"",6,""Multicolor"",7,""Multicolor"",8,""Multicolor""))"),"Orange")</f>
        <v>Orange</v>
      </c>
      <c r="E97" s="1"/>
      <c r="F97" s="1" t="s">
        <v>26</v>
      </c>
      <c r="G97" s="1" t="s">
        <v>411</v>
      </c>
      <c r="H97" s="2" t="s">
        <v>96</v>
      </c>
      <c r="I97" s="11" t="s">
        <v>412</v>
      </c>
      <c r="J97" s="3"/>
      <c r="O97" s="3"/>
      <c r="Q97" s="1">
        <v>50</v>
      </c>
      <c r="S97" s="4" t="str">
        <f t="shared" si="4"/>
        <v>False</v>
      </c>
      <c r="T97" s="4" t="str">
        <f>IFERROR(__xludf.DUMMYFUNCTION("CONCATENATE(if(REGEXMATCH(C97,""R""),"" Red"",""""),if(REGEXMATCH(C97,""O""),"" Orange"",""""),if(REGEXMATCH(C97,""Y""),"" Yellow"",""""),if(REGEXMATCH(C97,""G""),"" Green"",""""),if(REGEXMATCH(C97,""B""),"" Blue"",""""),if(REGEXMATCH(C97,""P""),"" Purple"&amp;""",""""))")," Orange")</f>
        <v>Orange</v>
      </c>
      <c r="U97" s="4" t="str">
        <f>IFERROR(__xludf.DUMMYFUNCTION("TRIM(CONCAT(""[right]"", REGEXREPLACE(C97, ""([ROYGBPXZC_]|1?[0-9])"", ""[img=119]res://textures/icons/$0.png[/img]\\n"")))"),"[right][img=119]res://textures/icons/O.png[/img]\n")</f>
        <v>[right][img=119]res://textures/icons/O.png[/img]\n</v>
      </c>
      <c r="V97" s="4" t="str">
        <f>IFERROR(__xludf.DUMMYFUNCTION("SUBSTITUTE(SUBSTITUTE(SUBSTITUTE(SUBSTITUTE(REGEXREPLACE(SUBSTITUTE(SUBSTITUTE(SUBSTITUTE(SUBSTITUTE(REGEXREPLACE(I97, ""(\[([ROYGBPTQUXZC_]|1?[0-9])\])"", ""[img=45]res://textures/icons/$2.png[/img]""),""--"",""—""),""-&gt;"",""•""),""~@"", CONCATENATE(""[i"&amp;"]"",REGEXEXTRACT(B97,""^([\s\S]*),|$""),""[/i]"")),""~"", CONCATENATE(""[i]"",B97,""[/i]"")),""(\([\s\S]*?\))"",""[i][color=#34343A]$0[/color][/i]""), ""&lt;"", ""[""), ""&gt;"", ""]""), ""[/p][p]"", ""[font_size=15]\n\n[/font_size]""), ""[br/]"", ""\n"")"),"[p]When [i]Incendiary Grenade[/i] enters the battlefield, you may attach it to a combatant.\n[u]Throw[/u], [u]Forfeit[/u] [i][color=#34343A](Put the specified card into its owner's discard.)[/color][/i] [i]Incendiary Grenade[/i]: Choose a generator; it ga"&amp;"ins ""At the end of your turn, you must choose a combatant you control; this card deals 1 damage to that combatant for each time it has been chosen by this effect. You may [u]Forfeit[/u] this generator to end this effect.""[font_size=15]\n\n[/font_size][u"&amp;"]Forfeit[/u] [i]Incendiary Grenade[/i]: Add [img=45]res://textures/icons/O.png[/img][img=45]res://textures/icons/O.png[/img][img=45]res://textures/icons/O.png[/img].[/p]")</f>
        <v xml:space="preserve">[p]When [i]Incendiary Grenade[/i] enters the battlefield, you may attach it to a combatant.\n[u]Throw[/u], [u]Forfeit[/u] [i][color=#34343A](Put the specified card into its owner's discard.)[/color][/i] [i]Incendiary Grenade[/i]: Choose a generator; it gains "At the end of your turn, you must choose a combatant you control; this card deals 1 damage to that combatant for each time it has been chosen by this effect. You may [u]Forfeit[/u] this generator to end this effect."[font_size=15]\n\n[/font_size][u]Forfeit[/u] [i]Incendiary Grenade[/i]: Add [img=45]res://textures/icons/O.png[/img][img=45]res://textures/icons/O.png[/img][img=45]res://textures/icons/O.png[/img].[/p]</v>
      </c>
      <c r="W97" s="4" t="str">
        <f t="shared" si="5"/>
        <v>[i]Asset[/i]</v>
      </c>
      <c r="X97" s="4" t="str">
        <f t="shared" si="6"/>
        <v>RT_OR_008</v>
      </c>
    </row>
    <row r="98" outlineLevel="1">
      <c r="A98" s="1" t="s">
        <v>413</v>
      </c>
      <c r="B98" s="1" t="s">
        <v>414</v>
      </c>
      <c r="C98" s="1" t="s">
        <v>401</v>
      </c>
      <c r="D98" s="6" t="str">
        <f>IFERROR(__xludf.DUMMYFUNCTION("IF(EQ(A98,B98),"""",SWITCH(IF(T98="""",0,COUNTA(SPLIT(T98,"" ""))),0,""Generic"",1,TRIM(T98),2,""Multicolor"",3,""Multicolor"",4,""Multicolor"",5,""Multicolor"",6,""Multicolor"",7,""Multicolor"",8,""Multicolor""))"),"Orange")</f>
        <v>Orange</v>
      </c>
      <c r="E98" s="1"/>
      <c r="F98" s="1" t="s">
        <v>33</v>
      </c>
      <c r="H98" s="12">
        <v>5</v>
      </c>
      <c r="I98" s="3" t="s">
        <v>415</v>
      </c>
      <c r="J98" s="3"/>
      <c r="O98" s="3"/>
      <c r="Q98" s="1">
        <v>60</v>
      </c>
      <c r="R98" s="1">
        <v>35</v>
      </c>
      <c r="S98" s="4" t="str">
        <f t="shared" si="4"/>
        <v>False</v>
      </c>
      <c r="T98" s="4" t="str">
        <f>IFERROR(__xludf.DUMMYFUNCTION("CONCATENATE(if(REGEXMATCH(C98,""R""),"" Red"",""""),if(REGEXMATCH(C98,""O""),"" Orange"",""""),if(REGEXMATCH(C98,""Y""),"" Yellow"",""""),if(REGEXMATCH(C98,""G""),"" Green"",""""),if(REGEXMATCH(C98,""B""),"" Blue"",""""),if(REGEXMATCH(C98,""P""),"" Purple"&amp;""",""""))")," Orange")</f>
        <v>Orange</v>
      </c>
      <c r="U98" s="4" t="str">
        <f>IFERROR(__xludf.DUMMYFUNCTION("TRIM(CONCAT(""[right]"", REGEXREPLACE(C98, ""([ROYGBPXZC_]|1?[0-9])"", ""[img=119]res://textures/icons/$0.png[/img]\\n"")))"),"[right][img=119]res://textures/icons/O.png[/img]\n[img=119]res://textures/icons/O.png[/img]\n")</f>
        <v>[right][img=119]res://textures/icons/O.png[/img]\n[img=119]res://textures/icons/O.png[/img]\n</v>
      </c>
      <c r="V98" s="4" t="str">
        <f>IFERROR(__xludf.DUMMYFUNCTION("SUBSTITUTE(SUBSTITUTE(SUBSTITUTE(SUBSTITUTE(REGEXREPLACE(SUBSTITUTE(SUBSTITUTE(SUBSTITUTE(SUBSTITUTE(REGEXREPLACE(I98, ""(\[([ROYGBPTQUXZC_]|1?[0-9])\])"", ""[img=45]res://textures/icons/$2.png[/img]""),""--"",""—""),""-&gt;"",""•""),""~@"", CONCATENATE(""[i"&amp;"]"",REGEXEXTRACT(B98,""^([\s\S]*),|$""),""[/i]"")),""~"", CONCATENATE(""[i]"",B98,""[/i]"")),""(\([\s\S]*?\))"",""[i][color=#34343A]$0[/color][/i]""), ""&lt;"", ""[""), ""&gt;"", ""]""), ""[/p][p]"", ""[font_size=15]\n\n[/font_size]""), ""[br/]"", ""\n"")"),"Choose a police or prison card; its owner [u]forfeits[/u] [i][color=#34343A](Put the specified card into its owner's discard.)[/color][/i] it.")</f>
        <v xml:space="preserve">Choose a police or prison card; its owner [u]forfeits[/u] [i][color=#34343A](Put the specified card into its owner's discard.)[/color][/i] it.</v>
      </c>
      <c r="W98" s="4" t="str">
        <f t="shared" si="5"/>
        <v>[i]Effect[/i]</v>
      </c>
      <c r="X98" s="4" t="str">
        <f t="shared" si="6"/>
        <v>RT_OU_009</v>
      </c>
    </row>
    <row r="99" outlineLevel="1">
      <c r="A99" s="1" t="s">
        <v>416</v>
      </c>
      <c r="B99" s="4" t="s">
        <v>417</v>
      </c>
      <c r="C99" s="5" t="s">
        <v>336</v>
      </c>
      <c r="D99" s="6" t="str">
        <f>IFERROR(__xludf.DUMMYFUNCTION("IF(ISBLANK(A99),"""",SWITCH(IF(T99="""",0,COUNTA(SPLIT(T99,"" ""))),0,""Generic"",1,TRIM(T99),2,""Multicolor"",3,""Multicolor"",4,""Multicolor"",5,""Multicolor"",6,""Multicolor"",7,""Multicolor"",8,""Multicolor""))"),"Orange")</f>
        <v>Orange</v>
      </c>
      <c r="E99" s="4"/>
      <c r="F99" s="4" t="s">
        <v>26</v>
      </c>
      <c r="G99" s="4" t="s">
        <v>269</v>
      </c>
      <c r="H99" s="5" t="s">
        <v>129</v>
      </c>
      <c r="I99" s="7" t="s">
        <v>418</v>
      </c>
      <c r="J99" s="3"/>
      <c r="O99" s="3"/>
      <c r="Q99" s="1">
        <v>60</v>
      </c>
      <c r="R99" s="1">
        <v>50</v>
      </c>
      <c r="S99" s="4" t="str">
        <f t="shared" si="4"/>
        <v>False</v>
      </c>
      <c r="T99" s="4" t="str">
        <f>IFERROR(__xludf.DUMMYFUNCTION("CONCATENATE(if(REGEXMATCH(C99,""R""),"" Red"",""""),if(REGEXMATCH(C99,""O""),"" Orange"",""""),if(REGEXMATCH(C99,""Y""),"" Yellow"",""""),if(REGEXMATCH(C99,""G""),"" Green"",""""),if(REGEXMATCH(C99,""B""),"" Blue"",""""),if(REGEXMATCH(C99,""P""),"" Purple"&amp;""",""""))")," Orange")</f>
        <v>Orange</v>
      </c>
      <c r="U99" s="4" t="str">
        <f>IFERROR(__xludf.DUMMYFUNCTION("TRIM(CONCAT(""[right]"", REGEXREPLACE(C99, ""([ROYGBPXZC_]|1?[0-9])"", ""[img=119]res://textures/icons/$0.png[/img]\\n"")))"),"[right][img=119]res://textures/icons/2.png[/img]\n[img=119]res://textures/icons/O.png[/img]\n")</f>
        <v>[right][img=119]res://textures/icons/2.png[/img]\n[img=119]res://textures/icons/O.png[/img]\n</v>
      </c>
      <c r="V99" s="4" t="str">
        <f>IFERROR(__xludf.DUMMYFUNCTION("SUBSTITUTE(SUBSTITUTE(SUBSTITUTE(SUBSTITUTE(REGEXREPLACE(SUBSTITUTE(SUBSTITUTE(SUBSTITUTE(SUBSTITUTE(REGEXREPLACE(I99, ""(\[([ROYGBPTQUXZC_]|1?[0-9])\])"", ""[img=45]res://textures/icons/$2.png[/img]""),""--"",""—""),""-&gt;"",""•""),""~@"", CONCATENATE(""[i"&amp;"]"",REGEXEXTRACT(B99,""^([\s\S]*),|$""),""[/i]"")),""~"", CONCATENATE(""[i]"",B99,""[/i]"")),""(\([\s\S]*?\))"",""[i][color=#34343A]$0[/color][/i]""), ""&lt;"", ""[""), ""&gt;"", ""]""), ""[/p][p]"", ""[font_size=15]\n\n[/font_size]""), ""[br/]"", ""\n"")"),"[u]Forfeit[/u] [i][color=#34343A](Put the specified card into its owner's discard.)[/color][/i] [i]Pain Amplifier[/i]: Choose a combatant; it permanently takes double damage.")</f>
        <v xml:space="preserve">[u]Forfeit[/u] [i][color=#34343A](Put the specified card into its owner's discard.)[/color][/i] [i]Pain Amplifier[/i]: Choose a combatant; it permanently takes double damage.</v>
      </c>
      <c r="W99" s="4" t="str">
        <f t="shared" si="5"/>
        <v>[i]Asset[/i]</v>
      </c>
      <c r="X99" s="4" t="str">
        <f t="shared" si="6"/>
        <v>RT_OU_010</v>
      </c>
    </row>
    <row r="100" outlineLevel="1">
      <c r="A100" s="1" t="s">
        <v>419</v>
      </c>
      <c r="B100" s="4" t="s">
        <v>420</v>
      </c>
      <c r="C100" s="5" t="s">
        <v>340</v>
      </c>
      <c r="D100" s="6" t="str">
        <f>IFERROR(__xludf.DUMMYFUNCTION("IF(ISBLANK(A100),"""",SWITCH(IF(T100="""",0,COUNTA(SPLIT(T100,"" ""))),0,""Generic"",1,TRIM(T100),2,""Multicolor"",3,""Multicolor"",4,""Multicolor"",5,""Multicolor"",6,""Multicolor"",7,""Multicolor"",8,""Multicolor""))"),"Orange")</f>
        <v>Orange</v>
      </c>
      <c r="E100" s="4" t="s">
        <v>79</v>
      </c>
      <c r="F100" s="4" t="s">
        <v>26</v>
      </c>
      <c r="G100" s="4" t="s">
        <v>421</v>
      </c>
      <c r="H100" s="5" t="s">
        <v>129</v>
      </c>
      <c r="I100" s="7" t="s">
        <v>422</v>
      </c>
      <c r="J100" s="3"/>
      <c r="K100" s="1">
        <v>5</v>
      </c>
      <c r="L100" s="1">
        <v>1</v>
      </c>
      <c r="O100" s="3"/>
      <c r="Q100" s="1">
        <v>60</v>
      </c>
      <c r="R100" s="1">
        <v>35</v>
      </c>
      <c r="S100" s="4" t="str">
        <f t="shared" si="4"/>
        <v>True</v>
      </c>
      <c r="T100" s="4" t="str">
        <f>IFERROR(__xludf.DUMMYFUNCTION("CONCATENATE(if(REGEXMATCH(C100,""R""),"" Red"",""""),if(REGEXMATCH(C100,""O""),"" Orange"",""""),if(REGEXMATCH(C100,""Y""),"" Yellow"",""""),if(REGEXMATCH(C100,""G""),"" Green"",""""),if(REGEXMATCH(C100,""B""),"" Blue"",""""),if(REGEXMATCH(C100,""P""),"" "&amp;"Purple"",""""))")," Orange")</f>
        <v>Orange</v>
      </c>
      <c r="U100" s="4" t="str">
        <f>IFERROR(__xludf.DUMMYFUNCTION("TRIM(CONCAT(""[right]"", REGEXREPLACE(C100, ""([ROYGBPXZC_]|1?[0-9])"", ""[img=119]res://textures/icons/$0.png[/img]\\n"")))"),"[right][img=119]res://textures/icons/1.png[/img]\n[img=119]res://textures/icons/O.png[/img]\n")</f>
        <v>[right][img=119]res://textures/icons/1.png[/img]\n[img=119]res://textures/icons/O.png[/img]\n</v>
      </c>
      <c r="V100" s="4" t="str">
        <f>IFERROR(__xludf.DUMMYFUNCTION("SUBSTITUTE(SUBSTITUTE(SUBSTITUTE(SUBSTITUTE(REGEXREPLACE(SUBSTITUTE(SUBSTITUTE(SUBSTITUTE(SUBSTITUTE(REGEXREPLACE(I100, ""(\[([ROYGBPTQUXZC_]|1?[0-9])\])"", ""[img=45]res://textures/icons/$2.png[/img]""),""--"",""—""),""-&gt;"",""•""),""~@"", CONCATENATE(""["&amp;"i]"",REGEXEXTRACT(B100,""^([\s\S]*),|$""),""[/i]"")),""~"", CONCATENATE(""[i]"",B100,""[/i]"")),""(\([\s\S]*?\))"",""[i][color=#34343A]$0[/color][/i]""), ""&lt;"", ""[""), ""&gt;"", ""]""), ""[/p][p]"", ""[font_size=15]\n\n[/font_size]""), ""[br/]"", ""\n"")"),"[center][u]Flying[/u] [i][color=#34343A]([i]Stolen Helicopter[/i] can only be intercepted by assets with ranged or flying. If [i]Stolen Helicopter[/i] is intercepting you may choose another combatant or commander you control, that is not also intercepting"&amp;", to take the damage instead.)[/color][/i], [u]Vehicle[/u][/center][p][i]Strength in Numbers[/i] — Whenever [i]Stolen Helicopter[/i] attacks, choose another combatant, that combatant attacks with [i]Stolen Helicopter[/i], until end of turn that combatant "&amp;"gains [u]brutal[/u] and +1/+0.[/p]")</f>
        <v xml:space="preserve">[center][u]Flying[/u] [i][color=#34343A]([i]Stolen Helicopter[/i] can only be intercepted by assets with ranged or flying. If [i]Stolen Helicopter[/i] is intercepting you may choose another combatant or commander you control, that is not also intercepting, to take the damage instead.)[/color][/i], [u]Vehicle[/u][/center][p][i]Strength in Numbers[/i] — Whenever [i]Stolen Helicopter[/i] attacks, choose another combatant, that combatant attacks with [i]Stolen Helicopter[/i], until end of turn that combatant gains [u]brutal[/u] and +1/+0.[/p]</v>
      </c>
      <c r="W100" s="4" t="str">
        <f t="shared" si="5"/>
        <v>[i]Asset[/i]</v>
      </c>
      <c r="X100" s="4" t="str">
        <f t="shared" si="6"/>
        <v>RT_OU_011</v>
      </c>
    </row>
    <row r="101" outlineLevel="1">
      <c r="A101" s="1" t="s">
        <v>423</v>
      </c>
      <c r="B101" s="4" t="s">
        <v>424</v>
      </c>
      <c r="C101" s="5" t="s">
        <v>336</v>
      </c>
      <c r="D101" s="6" t="str">
        <f>IFERROR(__xludf.DUMMYFUNCTION("IF(ISBLANK(A101),"""",SWITCH(IF(T101="""",0,COUNTA(SPLIT(T101,"" ""))),0,""Generic"",1,TRIM(T101),2,""Multicolor"",3,""Multicolor"",4,""Multicolor"",5,""Multicolor"",6,""Multicolor"",7,""Multicolor"",8,""Multicolor""))"),"Orange")</f>
        <v>Orange</v>
      </c>
      <c r="E101" s="4" t="s">
        <v>51</v>
      </c>
      <c r="F101" s="4" t="s">
        <v>26</v>
      </c>
      <c r="G101" s="4" t="s">
        <v>345</v>
      </c>
      <c r="H101" s="5" t="s">
        <v>129</v>
      </c>
      <c r="I101" s="7" t="s">
        <v>425</v>
      </c>
      <c r="J101" s="3"/>
      <c r="K101" s="1">
        <v>4</v>
      </c>
      <c r="L101" s="1">
        <v>4</v>
      </c>
      <c r="O101" s="3"/>
      <c r="Q101" s="1">
        <v>60</v>
      </c>
      <c r="R101" s="1">
        <v>35</v>
      </c>
      <c r="S101" s="4" t="str">
        <f t="shared" si="4"/>
        <v>True</v>
      </c>
      <c r="T101" s="4" t="str">
        <f>IFERROR(__xludf.DUMMYFUNCTION("CONCATENATE(if(REGEXMATCH(C101,""R""),"" Red"",""""),if(REGEXMATCH(C101,""O""),"" Orange"",""""),if(REGEXMATCH(C101,""Y""),"" Yellow"",""""),if(REGEXMATCH(C101,""G""),"" Green"",""""),if(REGEXMATCH(C101,""B""),"" Blue"",""""),if(REGEXMATCH(C101,""P""),"" "&amp;"Purple"",""""))")," Orange")</f>
        <v>Orange</v>
      </c>
      <c r="U101" s="4" t="str">
        <f>IFERROR(__xludf.DUMMYFUNCTION("TRIM(CONCAT(""[right]"", REGEXREPLACE(C101, ""([ROYGBPXZC_]|1?[0-9])"", ""[img=119]res://textures/icons/$0.png[/img]\\n"")))"),"[right][img=119]res://textures/icons/2.png[/img]\n[img=119]res://textures/icons/O.png[/img]\n")</f>
        <v>[right][img=119]res://textures/icons/2.png[/img]\n[img=119]res://textures/icons/O.png[/img]\n</v>
      </c>
      <c r="V101" s="4" t="str">
        <f>IFERROR(__xludf.DUMMYFUNCTION("SUBSTITUTE(SUBSTITUTE(SUBSTITUTE(SUBSTITUTE(REGEXREPLACE(SUBSTITUTE(SUBSTITUTE(SUBSTITUTE(SUBSTITUTE(REGEXREPLACE(I101, ""(\[([ROYGBPTQUXZC_]|1?[0-9])\])"", ""[img=45]res://textures/icons/$2.png[/img]""),""--"",""—""),""-&gt;"",""•""),""~@"", CONCATENATE(""["&amp;"i]"",REGEXEXTRACT(B101,""^([\s\S]*),|$""),""[/i]"")),""~"", CONCATENATE(""[i]"",B101,""[/i]"")),""(\([\s\S]*?\))"",""[i][color=#34343A]$0[/color][/i]""), ""&lt;"", ""[""), ""&gt;"", ""]""), ""[/p][p]"", ""[font_size=15]\n\n[/font_size]""), ""[br/]"", ""\n"")"),"[center][u]Subterfuge[/u] [i][color=#34343A](Damage dealt by this card, doesn't cause your opponents to draw cards.)[/color][/i][/center][p][i]Strength in Numbers[/i] — Whenever [i]Delta Infiltrator[/i] attacks, choose another combatant, that combatant at"&amp;"tacks with [i]Delta Infiltrator[/i], until end of turn that combatant gains [u]shield[/u] [i][color=#34343A](Prevent the next instance of damage that asset would receive. Once damage has been prevented this way, that asset loses shield.)[/color][/i][/p]")</f>
        <v xml:space="preserve">[center][u]Subterfuge[/u] [i][color=#34343A](Damage dealt by this card, doesn't cause your opponents to draw cards.)[/color][/i][/center][p][i]Strength in Numbers[/i] — Whenever [i]Delta Infiltrator[/i] attacks, choose another combatant, that combatant attacks with [i]Delta Infiltrator[/i], until end of turn that combatant gains [u]shield[/u] [i][color=#34343A](Prevent the next instance of damage that asset would receive. Once damage has been prevented this way, that asset loses shield.)[/color][/i][/p]</v>
      </c>
      <c r="W101" s="4" t="str">
        <f t="shared" si="5"/>
        <v>[i]Asset[/i]</v>
      </c>
      <c r="X101" s="4" t="str">
        <f t="shared" si="6"/>
        <v>RT_OU_012</v>
      </c>
    </row>
    <row r="102" outlineLevel="1">
      <c r="A102" s="1" t="s">
        <v>426</v>
      </c>
      <c r="B102" s="4" t="s">
        <v>427</v>
      </c>
      <c r="C102" s="5" t="s">
        <v>324</v>
      </c>
      <c r="D102" s="6" t="str">
        <f>IFERROR(__xludf.DUMMYFUNCTION("IF(ISBLANK(A102),"""",SWITCH(IF(T102="""",0,COUNTA(SPLIT(T102,"" ""))),0,""Generic"",1,TRIM(T102),2,""Multicolor"",3,""Multicolor"",4,""Multicolor"",5,""Multicolor"",6,""Multicolor"",7,""Multicolor"",8,""Multicolor""))"),"Orange")</f>
        <v>Orange</v>
      </c>
      <c r="E102" s="4"/>
      <c r="F102" s="4" t="s">
        <v>33</v>
      </c>
      <c r="G102" s="4" t="s">
        <v>118</v>
      </c>
      <c r="H102" s="5" t="s">
        <v>129</v>
      </c>
      <c r="I102" s="7" t="s">
        <v>428</v>
      </c>
      <c r="J102" s="3"/>
      <c r="O102" s="3"/>
      <c r="Q102" s="1">
        <v>60</v>
      </c>
      <c r="R102" s="1">
        <v>50</v>
      </c>
      <c r="S102" s="4" t="str">
        <f t="shared" si="4"/>
        <v>False</v>
      </c>
      <c r="T102" s="4" t="str">
        <f>IFERROR(__xludf.DUMMYFUNCTION("CONCATENATE(if(REGEXMATCH(C102,""R""),"" Red"",""""),if(REGEXMATCH(C102,""O""),"" Orange"",""""),if(REGEXMATCH(C102,""Y""),"" Yellow"",""""),if(REGEXMATCH(C102,""G""),"" Green"",""""),if(REGEXMATCH(C102,""B""),"" Blue"",""""),if(REGEXMATCH(C102,""P""),"" "&amp;"Purple"",""""))")," Orange")</f>
        <v>Orange</v>
      </c>
      <c r="U102" s="4" t="str">
        <f>IFERROR(__xludf.DUMMYFUNCTION("TRIM(CONCAT(""[right]"", REGEXREPLACE(C102, ""([ROYGBPXZC_]|1?[0-9])"", ""[img=119]res://textures/icons/$0.png[/img]\\n"")))"),"[right][img=119]res://textures/icons/O.png[/img]\n")</f>
        <v>[right][img=119]res://textures/icons/O.png[/img]\n</v>
      </c>
      <c r="V102" s="4" t="str">
        <f>IFERROR(__xludf.DUMMYFUNCTION("SUBSTITUTE(SUBSTITUTE(SUBSTITUTE(SUBSTITUTE(REGEXREPLACE(SUBSTITUTE(SUBSTITUTE(SUBSTITUTE(SUBSTITUTE(REGEXREPLACE(I102, ""(\[([ROYGBPTQUXZC_]|1?[0-9])\])"", ""[img=45]res://textures/icons/$2.png[/img]""),""--"",""—""),""-&gt;"",""•""),""~@"", CONCATENATE(""["&amp;"i]"",REGEXEXTRACT(B102,""^([\s\S]*),|$""),""[/i]"")),""~"", CONCATENATE(""[i]"",B102,""[/i]"")),""(\([\s\S]*?\))"",""[i][color=#34343A]$0[/color][/i]""), ""&lt;"", ""[""), ""&gt;"", ""]""), ""[/p][p]"", ""[font_size=15]\n\n[/font_size]""), ""[br/]"", ""\n"")"),"Draw 2 cards, then put 2 cards from your hand on top of your deck.")</f>
        <v xml:space="preserve">Draw 2 cards, then put 2 cards from your hand on top of your deck.</v>
      </c>
      <c r="W102" s="4" t="str">
        <f t="shared" si="5"/>
        <v>[i]Effect[/i]</v>
      </c>
      <c r="X102" s="4" t="str">
        <f t="shared" si="6"/>
        <v>RT_OU_013</v>
      </c>
    </row>
    <row r="103" outlineLevel="1">
      <c r="A103" s="1" t="s">
        <v>429</v>
      </c>
      <c r="B103" s="1" t="s">
        <v>430</v>
      </c>
      <c r="C103" s="2" t="s">
        <v>324</v>
      </c>
      <c r="D103" s="6" t="s">
        <v>431</v>
      </c>
      <c r="E103" s="1" t="s">
        <v>79</v>
      </c>
      <c r="F103" s="1" t="s">
        <v>26</v>
      </c>
      <c r="G103" s="1" t="s">
        <v>345</v>
      </c>
      <c r="H103" s="2" t="s">
        <v>129</v>
      </c>
      <c r="I103" s="3" t="s">
        <v>432</v>
      </c>
      <c r="J103" s="3"/>
      <c r="K103" s="1">
        <v>1</v>
      </c>
      <c r="L103" s="1">
        <v>1</v>
      </c>
      <c r="O103" s="3"/>
      <c r="Q103" s="1">
        <v>60</v>
      </c>
      <c r="R103" s="1">
        <v>35</v>
      </c>
      <c r="S103" s="4" t="str">
        <f t="shared" si="4"/>
        <v>True</v>
      </c>
      <c r="T103" s="4" t="str">
        <f>IFERROR(__xludf.DUMMYFUNCTION("CONCATENATE(if(REGEXMATCH(C103,""R""),"" Red"",""""),if(REGEXMATCH(C103,""O""),"" Orange"",""""),if(REGEXMATCH(C103,""Y""),"" Yellow"",""""),if(REGEXMATCH(C103,""G""),"" Green"",""""),if(REGEXMATCH(C103,""B""),"" Blue"",""""),if(REGEXMATCH(C103,""P""),"" "&amp;"Purple"",""""))")," Orange")</f>
        <v>Orange</v>
      </c>
      <c r="U103" s="4" t="str">
        <f>IFERROR(__xludf.DUMMYFUNCTION("TRIM(CONCAT(""[right]"", REGEXREPLACE(C103, ""([ROYGBPXZC_]|1?[0-9])"", ""[img=119]res://textures/icons/$0.png[/img]\\n"")))"),"[right][img=119]res://textures/icons/O.png[/img]\n")</f>
        <v>[right][img=119]res://textures/icons/O.png[/img]\n</v>
      </c>
      <c r="V103" s="4" t="str">
        <f>IFERROR(__xludf.DUMMYFUNCTION("SUBSTITUTE(SUBSTITUTE(SUBSTITUTE(SUBSTITUTE(REGEXREPLACE(SUBSTITUTE(SUBSTITUTE(SUBSTITUTE(SUBSTITUTE(REGEXREPLACE(I103, ""(\[([ROYGBPTQUXZC_]|1?[0-9])\])"", ""[img=45]res://textures/icons/$2.png[/img]""),""--"",""—""),""-&gt;"",""•""),""~@"", CONCATENATE(""["&amp;"i]"",REGEXEXTRACT(B103,""^([\s\S]*),|$""),""[/i]"")),""~"", CONCATENATE(""[i]"",B103,""[/i]"")),""(\([\s\S]*?\))"",""[i][color=#34343A]$0[/color][/i]""), ""&lt;"", ""[""), ""&gt;"", ""]""), ""[/p][p]"", ""[font_size=15]\n\n[/font_size]""), ""[br/]"", ""\n"")"),"[center]Players can't draw cards during combat.[/center]")</f>
        <v xml:space="preserve">[center]Players can't draw cards during combat.[/center]</v>
      </c>
      <c r="W103" s="4" t="str">
        <f t="shared" si="5"/>
        <v>[i]Asset[/i]</v>
      </c>
      <c r="X103" s="4" t="str">
        <f t="shared" si="6"/>
        <v>RT_OU_014</v>
      </c>
    </row>
    <row r="104" outlineLevel="1">
      <c r="A104" s="1" t="s">
        <v>433</v>
      </c>
      <c r="B104" s="1" t="s">
        <v>434</v>
      </c>
      <c r="C104" s="2" t="s">
        <v>401</v>
      </c>
      <c r="D104" s="6" t="str">
        <f>IFERROR(__xludf.DUMMYFUNCTION("IF(EQ(A104,B104),"""",SWITCH(IF(T104="""",0,COUNTA(SPLIT(T104,"" ""))),0,""Generic"",1,TRIM(T104),2,""Multicolor"",3,""Multicolor"",4,""Multicolor"",5,""Multicolor"",6,""Multicolor"",7,""Multicolor"",8,""Multicolor""))"),"Orange")</f>
        <v>Orange</v>
      </c>
      <c r="E104" s="1"/>
      <c r="F104" s="1" t="s">
        <v>26</v>
      </c>
      <c r="G104" s="1" t="s">
        <v>435</v>
      </c>
      <c r="H104" s="2" t="s">
        <v>129</v>
      </c>
      <c r="I104" s="3" t="s">
        <v>436</v>
      </c>
      <c r="J104" s="3"/>
      <c r="O104" s="3"/>
      <c r="Q104" s="1">
        <v>60</v>
      </c>
      <c r="R104" s="1">
        <v>40</v>
      </c>
      <c r="S104" s="4" t="str">
        <f t="shared" si="4"/>
        <v>False</v>
      </c>
      <c r="T104" s="4" t="str">
        <f>IFERROR(__xludf.DUMMYFUNCTION("CONCATENATE(if(REGEXMATCH(C104,""R""),"" Red"",""""),if(REGEXMATCH(C104,""O""),"" Orange"",""""),if(REGEXMATCH(C104,""Y""),"" Yellow"",""""),if(REGEXMATCH(C104,""G""),"" Green"",""""),if(REGEXMATCH(C104,""B""),"" Blue"",""""),if(REGEXMATCH(C104,""P""),"" "&amp;"Purple"",""""))")," Orange")</f>
        <v>Orange</v>
      </c>
      <c r="U104" s="4" t="str">
        <f>IFERROR(__xludf.DUMMYFUNCTION("TRIM(CONCAT(""[right]"", REGEXREPLACE(C104, ""([ROYGBPXZC_]|1?[0-9])"", ""[img=119]res://textures/icons/$0.png[/img]\\n"")))"),"[right][img=119]res://textures/icons/O.png[/img]\n[img=119]res://textures/icons/O.png[/img]\n")</f>
        <v>[right][img=119]res://textures/icons/O.png[/img]\n[img=119]res://textures/icons/O.png[/img]\n</v>
      </c>
      <c r="V104" s="4" t="str">
        <f>IFERROR(__xludf.DUMMYFUNCTION("SUBSTITUTE(SUBSTITUTE(SUBSTITUTE(SUBSTITUTE(REGEXREPLACE(SUBSTITUTE(SUBSTITUTE(SUBSTITUTE(SUBSTITUTE(REGEXREPLACE(I104, ""(\[([ROYGBPTQUXZC_]|1?[0-9])\])"", ""[img=45]res://textures/icons/$2.png[/img]""),""--"",""—""),""-&gt;"",""•""),""~@"", CONCATENATE(""["&amp;"i]"",REGEXEXTRACT(B104,""^([\s\S]*),|$""),""[/i]"")),""~"", CONCATENATE(""[i]"",B104,""[/i]"")),""(\([\s\S]*?\))"",""[i][color=#34343A]$0[/color][/i]""), ""&lt;"", ""[""), ""&gt;"", ""]""), ""[/p][p]"", ""[font_size=15]\n\n[/font_size]""), ""[br/]"", ""\n"")"),"[center][u]Tradeable[/u] [i][color=#34343A](Once each turn, you may pay [i]Stealth Suit[/i]'s cost, if you do choose another asset; attach [i]Stealth Suit[/i] to it.)[/color][/i][/center][p]The attached asset has [u]response[/u] [i][color=#34343A](The att"&amp;"ached card can be deployed during response phases.)[/color][/i] and [u]subterfuge[/u] [i][color=#34343A](Damage dealt by the attached card, doesn't cause your opponents to draw cards.)[/color][/i][font_size=15]\n\n[/font_size]You may attach [i]Stealth Sui"&amp;"t[/i] to assets in your hand, even if [i]Stealth Suit[/i] is in your hand.[/p]")</f>
        <v xml:space="preserve">[center][u]Tradeable[/u] [i][color=#34343A](Once each turn, you may pay [i]Stealth Suit[/i]'s cost, if you do choose another asset; attach [i]Stealth Suit[/i] to it.)[/color][/i][/center][p]The attached asset has [u]response[/u] [i][color=#34343A](The attached card can be deployed during response phases.)[/color][/i] and [u]subterfuge[/u] [i][color=#34343A](Damage dealt by the attached card, doesn't cause your opponents to draw cards.)[/color][/i][font_size=15]\n\n[/font_size]You may attach [i]Stealth Suit[/i] to assets in your hand, even if [i]Stealth Suit[/i] is in your hand.[/p]</v>
      </c>
      <c r="W104" s="4" t="str">
        <f t="shared" si="5"/>
        <v>[i]Asset[/i]</v>
      </c>
      <c r="X104" s="4" t="str">
        <f t="shared" si="6"/>
        <v>RT_OU_015</v>
      </c>
    </row>
    <row r="105" outlineLevel="1">
      <c r="A105" s="1" t="s">
        <v>437</v>
      </c>
      <c r="B105" s="1" t="s">
        <v>438</v>
      </c>
      <c r="C105" s="2" t="s">
        <v>336</v>
      </c>
      <c r="D105" s="6" t="str">
        <f>IFERROR(__xludf.DUMMYFUNCTION("IF(EQ(A105,B105),"""",SWITCH(IF(T105="""",0,COUNTA(SPLIT(T105,"" ""))),0,""Generic"",1,TRIM(T105),2,""Multicolor"",3,""Multicolor"",4,""Multicolor"",5,""Multicolor"",6,""Multicolor"",7,""Multicolor"",8,""Multicolor""))"),"Orange")</f>
        <v>Orange</v>
      </c>
      <c r="E105" s="1" t="s">
        <v>51</v>
      </c>
      <c r="F105" s="1" t="s">
        <v>26</v>
      </c>
      <c r="G105" s="1" t="s">
        <v>273</v>
      </c>
      <c r="H105" s="2" t="s">
        <v>129</v>
      </c>
      <c r="I105" s="3" t="s">
        <v>439</v>
      </c>
      <c r="J105" s="3"/>
      <c r="K105" s="1">
        <v>4</v>
      </c>
      <c r="L105" s="1">
        <v>3</v>
      </c>
      <c r="O105" s="3"/>
      <c r="Q105" s="1">
        <v>50</v>
      </c>
      <c r="R105" s="1">
        <v>50</v>
      </c>
      <c r="S105" s="4" t="str">
        <f t="shared" si="4"/>
        <v>True</v>
      </c>
      <c r="T105" s="4" t="str">
        <f>IFERROR(__xludf.DUMMYFUNCTION("CONCATENATE(if(REGEXMATCH(C105,""R""),"" Red"",""""),if(REGEXMATCH(C105,""O""),"" Orange"",""""),if(REGEXMATCH(C105,""Y""),"" Yellow"",""""),if(REGEXMATCH(C105,""G""),"" Green"",""""),if(REGEXMATCH(C105,""B""),"" Blue"",""""),if(REGEXMATCH(C105,""P""),"" "&amp;"Purple"",""""))")," Orange")</f>
        <v>Orange</v>
      </c>
      <c r="U105" s="4" t="str">
        <f>IFERROR(__xludf.DUMMYFUNCTION("TRIM(CONCAT(""[right]"", REGEXREPLACE(C105, ""([ROYGBPXZC_]|1?[0-9])"", ""[img=119]res://textures/icons/$0.png[/img]\\n"")))"),"[right][img=119]res://textures/icons/2.png[/img]\n[img=119]res://textures/icons/O.png[/img]\n")</f>
        <v>[right][img=119]res://textures/icons/2.png[/img]\n[img=119]res://textures/icons/O.png[/img]\n</v>
      </c>
      <c r="V105" s="4" t="str">
        <f>IFERROR(__xludf.DUMMYFUNCTION("SUBSTITUTE(SUBSTITUTE(SUBSTITUTE(SUBSTITUTE(REGEXREPLACE(SUBSTITUTE(SUBSTITUTE(SUBSTITUTE(SUBSTITUTE(REGEXREPLACE(I105, ""(\[([ROYGBPTQUXZC_]|1?[0-9])\])"", ""[img=45]res://textures/icons/$2.png[/img]""),""--"",""—""),""-&gt;"",""•""),""~@"", CONCATENATE(""["&amp;"i]"",REGEXEXTRACT(B105,""^([\s\S]*),|$""),""[/i]"")),""~"", CONCATENATE(""[i]"",B105,""[/i]"")),""(\([\s\S]*?\))"",""[i][color=#34343A]$0[/color][/i]""), ""&lt;"", ""[""), ""&gt;"", ""]""), ""[/p][p]"", ""[font_size=15]\n\n[/font_size]""), ""[br/]"", ""\n"")"),"When [i]Oppressive Foreman[/i] enters the battlefield, create a [i]'Disgruntled Employee'[/i] on the battlefield.")</f>
        <v xml:space="preserve">When [i]Oppressive Foreman[/i] enters the battlefield, create a [i]'Disgruntled Employee'[/i] on the battlefield.</v>
      </c>
      <c r="W105" s="4" t="str">
        <f t="shared" si="5"/>
        <v>[i]Asset[/i]</v>
      </c>
      <c r="X105" s="4" t="str">
        <f t="shared" si="6"/>
        <v>RT_OU_016</v>
      </c>
    </row>
    <row r="106" outlineLevel="1">
      <c r="A106" s="1" t="s">
        <v>440</v>
      </c>
      <c r="B106" s="1" t="s">
        <v>441</v>
      </c>
      <c r="C106" s="2" t="s">
        <v>340</v>
      </c>
      <c r="D106" s="6" t="str">
        <f>IFERROR(__xludf.DUMMYFUNCTION("IF(EQ(A106,B106),"""",SWITCH(IF(T106="""",0,COUNTA(SPLIT(T106,"" ""))),0,""Generic"",1,TRIM(T106),2,""Multicolor"",3,""Multicolor"",4,""Multicolor"",5,""Multicolor"",6,""Multicolor"",7,""Multicolor"",8,""Multicolor""))"),"Orange")</f>
        <v>Orange</v>
      </c>
      <c r="E106" s="1" t="s">
        <v>51</v>
      </c>
      <c r="F106" s="1" t="s">
        <v>26</v>
      </c>
      <c r="G106" s="1" t="s">
        <v>345</v>
      </c>
      <c r="H106" s="2" t="s">
        <v>50</v>
      </c>
      <c r="I106" s="3"/>
      <c r="J106" s="3"/>
      <c r="K106" s="1">
        <v>4</v>
      </c>
      <c r="L106" s="1">
        <v>4</v>
      </c>
      <c r="O106" s="3"/>
      <c r="Q106" s="1">
        <v>60</v>
      </c>
      <c r="R106" s="1">
        <v>35</v>
      </c>
      <c r="S106" s="4" t="str">
        <f t="shared" si="4"/>
        <v>True</v>
      </c>
      <c r="T106" s="4" t="str">
        <f>IFERROR(__xludf.DUMMYFUNCTION("CONCATENATE(if(REGEXMATCH(C106,""R""),"" Red"",""""),if(REGEXMATCH(C106,""O""),"" Orange"",""""),if(REGEXMATCH(C106,""Y""),"" Yellow"",""""),if(REGEXMATCH(C106,""G""),"" Green"",""""),if(REGEXMATCH(C106,""B""),"" Blue"",""""),if(REGEXMATCH(C106,""P""),"" "&amp;"Purple"",""""))")," Orange")</f>
        <v>Orange</v>
      </c>
      <c r="U106" s="4" t="str">
        <f>IFERROR(__xludf.DUMMYFUNCTION("TRIM(CONCAT(""[right]"", REGEXREPLACE(C106, ""([ROYGBPXZC_]|1?[0-9])"", ""[img=119]res://textures/icons/$0.png[/img]\\n"")))"),"[right][img=119]res://textures/icons/1.png[/img]\n[img=119]res://textures/icons/O.png[/img]\n")</f>
        <v>[right][img=119]res://textures/icons/1.png[/img]\n[img=119]res://textures/icons/O.png[/img]\n</v>
      </c>
      <c r="V106" s="4" t="str">
        <f>IFERROR(__xludf.DUMMYFUNCTION("SUBSTITUTE(SUBSTITUTE(SUBSTITUTE(SUBSTITUTE(REGEXREPLACE(SUBSTITUTE(SUBSTITUTE(SUBSTITUTE(SUBSTITUTE(REGEXREPLACE(I106, ""(\[([ROYGBPTQUXZC_]|1?[0-9])\])"", ""[img=45]res://textures/icons/$2.png[/img]""),""--"",""—""),""-&gt;"",""•""),""~@"", CONCATENATE(""["&amp;"i]"",REGEXEXTRACT(B106,""^([\s\S]*),|$""),""[/i]"")),""~"", CONCATENATE(""[i]"",B106,""[/i]"")),""(\([\s\S]*?\))"",""[i][color=#34343A]$0[/color][/i]""), ""&lt;"", ""[""), ""&gt;"", ""]""), ""[/p][p]"", ""[font_size=15]\n\n[/font_size]""), ""[br/]"", ""\n"")"),"")</f>
        <v/>
      </c>
      <c r="W106" s="4" t="str">
        <f t="shared" si="5"/>
        <v>[i]Asset[/i]</v>
      </c>
      <c r="X106" s="4" t="str">
        <f t="shared" si="6"/>
        <v>RT_OC_013</v>
      </c>
    </row>
    <row r="107" outlineLevel="1">
      <c r="A107" s="1" t="s">
        <v>442</v>
      </c>
      <c r="B107" s="4" t="s">
        <v>443</v>
      </c>
      <c r="C107" s="5" t="s">
        <v>306</v>
      </c>
      <c r="D107" s="6" t="str">
        <f>IFERROR(__xludf.DUMMYFUNCTION("IF(ISBLANK(A107),"""",SWITCH(IF(T107="""",0,COUNTA(SPLIT(T107,"" ""))),0,""Generic"",1,TRIM(T107),2,""Multicolor"",3,""Multicolor"",4,""Multicolor"",5,""Multicolor"",6,""Multicolor"",7,""Multicolor"",8,""Multicolor""))"),"Orange")</f>
        <v>Orange</v>
      </c>
      <c r="E107" s="4"/>
      <c r="F107" s="4" t="s">
        <v>33</v>
      </c>
      <c r="G107" s="4"/>
      <c r="H107" s="5" t="s">
        <v>134</v>
      </c>
      <c r="I107" s="7" t="s">
        <v>444</v>
      </c>
      <c r="J107" s="3"/>
      <c r="O107" s="3"/>
      <c r="Q107" s="1">
        <v>60</v>
      </c>
      <c r="R107" s="1">
        <v>50</v>
      </c>
      <c r="S107" s="4" t="str">
        <f t="shared" si="4"/>
        <v>False</v>
      </c>
      <c r="T107" s="4" t="str">
        <f>IFERROR(__xludf.DUMMYFUNCTION("CONCATENATE(if(REGEXMATCH(C107,""R""),"" Red"",""""),if(REGEXMATCH(C107,""O""),"" Orange"",""""),if(REGEXMATCH(C107,""Y""),"" Yellow"",""""),if(REGEXMATCH(C107,""G""),"" Green"",""""),if(REGEXMATCH(C107,""B""),"" Blue"",""""),if(REGEXMATCH(C107,""P""),"" "&amp;"Purple"",""""))")," Orange")</f>
        <v>Orange</v>
      </c>
      <c r="U107" s="4" t="str">
        <f>IFERROR(__xludf.DUMMYFUNCTION("TRIM(CONCAT(""[right]"", REGEXREPLACE(C107, ""([ROYGBPXZC_]|1?[0-9])"", ""[img=119]res://textures/icons/$0.png[/img]\\n"")))"),"[right][img=119]res://textures/icons/3.png[/img]\n[img=119]res://textures/icons/O.png[/img]\n")</f>
        <v>[right][img=119]res://textures/icons/3.png[/img]\n[img=119]res://textures/icons/O.png[/img]\n</v>
      </c>
      <c r="V107" s="4" t="str">
        <f>IFERROR(__xludf.DUMMYFUNCTION("SUBSTITUTE(SUBSTITUTE(SUBSTITUTE(SUBSTITUTE(REGEXREPLACE(SUBSTITUTE(SUBSTITUTE(SUBSTITUTE(SUBSTITUTE(REGEXREPLACE(I107, ""(\[([ROYGBPTQUXZC_]|1?[0-9])\])"", ""[img=45]res://textures/icons/$2.png[/img]""),""--"",""—""),""-&gt;"",""•""),""~@"", CONCATENATE(""["&amp;"i]"",REGEXEXTRACT(B107,""^([\s\S]*),|$""),""[/i]"")),""~"", CONCATENATE(""[i]"",B107,""[/i]"")),""(\([\s\S]*?\))"",""[i][color=#34343A]$0[/color][/i]""), ""&lt;"", ""[""), ""&gt;"", ""]""), ""[/p][p]"", ""[font_size=15]\n\n[/font_size]""), ""[br/]"", ""\n"")"),"[center][u]Warrant[/u] [i][color=#34343A](When you deploy [i]Sabotage[/i], shuffle an 'Incarceration' into your deck.)[/color][/i][/center][p][i]Sabotage[/i] costs [img=45]res://textures/icons/1.png[/img] less to deploy if you didn't go first.[font_size=1"&amp;"5]\n\n[/font_size]Choose a generator; its controller [u]forfeites[/u] [i][color=#34343A](Put the specified generator into its owner's discard.)[/color][/i] it.[/p]")</f>
        <v xml:space="preserve">[center][u]Warrant[/u] [i][color=#34343A](When you deploy [i]Sabotage[/i], shuffle an 'Incarceration' into your deck.)[/color][/i][/center][p][i]Sabotage[/i] costs [img=45]res://textures/icons/1.png[/img] less to deploy if you didn't go first.[font_size=15]\n\n[/font_size]Choose a generator; its controller [u]forfeites[/u] [i][color=#34343A](Put the specified generator into its owner's discard.)[/color][/i] it.[/p]</v>
      </c>
      <c r="W107" s="4" t="str">
        <f t="shared" si="5"/>
        <v>[i]Effect[/i]</v>
      </c>
      <c r="X107" s="4" t="str">
        <f t="shared" si="6"/>
        <v>RT_OC_014</v>
      </c>
    </row>
    <row r="108" outlineLevel="1">
      <c r="A108" s="1" t="s">
        <v>445</v>
      </c>
      <c r="B108" s="4" t="s">
        <v>446</v>
      </c>
      <c r="C108" s="5" t="s">
        <v>324</v>
      </c>
      <c r="D108" s="6" t="str">
        <f>IFERROR(__xludf.DUMMYFUNCTION("IF(ISBLANK(A108),"""",SWITCH(IF(T108="""",0,COUNTA(SPLIT(T108,"" ""))),0,""Generic"",1,TRIM(T108),2,""Multicolor"",3,""Multicolor"",4,""Multicolor"",5,""Multicolor"",6,""Multicolor"",7,""Multicolor"",8,""Multicolor""))"),"Orange")</f>
        <v>Orange</v>
      </c>
      <c r="E108" s="4"/>
      <c r="F108" s="4" t="s">
        <v>33</v>
      </c>
      <c r="G108" s="4" t="s">
        <v>118</v>
      </c>
      <c r="H108" s="5" t="s">
        <v>44</v>
      </c>
      <c r="I108" s="7" t="s">
        <v>447</v>
      </c>
      <c r="J108" s="3"/>
      <c r="O108" s="3"/>
      <c r="Q108" s="1">
        <v>60</v>
      </c>
      <c r="R108" s="1">
        <v>50</v>
      </c>
      <c r="S108" s="4" t="str">
        <f t="shared" si="4"/>
        <v>False</v>
      </c>
      <c r="T108" s="4" t="str">
        <f>IFERROR(__xludf.DUMMYFUNCTION("CONCATENATE(if(REGEXMATCH(C108,""R""),"" Red"",""""),if(REGEXMATCH(C108,""O""),"" Orange"",""""),if(REGEXMATCH(C108,""Y""),"" Yellow"",""""),if(REGEXMATCH(C108,""G""),"" Green"",""""),if(REGEXMATCH(C108,""B""),"" Blue"",""""),if(REGEXMATCH(C108,""P""),"" "&amp;"Purple"",""""))")," Orange")</f>
        <v>Orange</v>
      </c>
      <c r="U108" s="4" t="str">
        <f>IFERROR(__xludf.DUMMYFUNCTION("TRIM(CONCAT(""[right]"", REGEXREPLACE(C108, ""([ROYGBPXZC_]|1?[0-9])"", ""[img=119]res://textures/icons/$0.png[/img]\\n"")))"),"[right][img=119]res://textures/icons/O.png[/img]\n")</f>
        <v>[right][img=119]res://textures/icons/O.png[/img]\n</v>
      </c>
      <c r="V108" s="4" t="str">
        <f>IFERROR(__xludf.DUMMYFUNCTION("SUBSTITUTE(SUBSTITUTE(SUBSTITUTE(SUBSTITUTE(REGEXREPLACE(SUBSTITUTE(SUBSTITUTE(SUBSTITUTE(SUBSTITUTE(REGEXREPLACE(I108, ""(\[([ROYGBPTQUXZC_]|1?[0-9])\])"", ""[img=45]res://textures/icons/$2.png[/img]""),""--"",""—""),""-&gt;"",""•""),""~@"", CONCATENATE(""["&amp;"i]"",REGEXEXTRACT(B108,""^([\s\S]*),|$""),""[/i]"")),""~"", CONCATENATE(""[i]"",B108,""[/i]"")),""(\([\s\S]*?\))"",""[i][color=#34343A]$0[/color][/i]""), ""&lt;"", ""[""), ""&gt;"", ""]""), ""[/p][p]"", ""[font_size=15]\n\n[/font_size]""), ""[br/]"", ""\n"")"),"[center][u]Advantageous[/u] [i][color=#34343A](When [i]Restrain[/i] resolves, draw a card.)[/color][/i][/center][p]Choose a combatant, until end of turn, it has an attack power of 0.[/p]")</f>
        <v xml:space="preserve">[center][u]Advantageous[/u] [i][color=#34343A](When [i]Restrain[/i] resolves, draw a card.)[/color][/i][/center][p]Choose a combatant, until end of turn, it has an attack power of 0.[/p]</v>
      </c>
      <c r="W108" s="4" t="str">
        <f t="shared" si="5"/>
        <v>[i]Effect[/i]</v>
      </c>
      <c r="X108" s="4" t="str">
        <f t="shared" si="6"/>
        <v>RT_OC_015</v>
      </c>
    </row>
    <row r="109" outlineLevel="1">
      <c r="A109" s="1" t="s">
        <v>448</v>
      </c>
      <c r="B109" s="1" t="s">
        <v>449</v>
      </c>
      <c r="C109" s="2" t="s">
        <v>336</v>
      </c>
      <c r="D109" s="6" t="str">
        <f>IFERROR(__xludf.DUMMYFUNCTION("IF(EQ(A109,B109),"""",SWITCH(IF(T109="""",0,COUNTA(SPLIT(T109,"" ""))),0,""Generic"",1,TRIM(T109),2,""Multicolor"",3,""Multicolor"",4,""Multicolor"",5,""Multicolor"",6,""Multicolor"",7,""Multicolor"",8,""Multicolor""))"),"Orange")</f>
        <v>Orange</v>
      </c>
      <c r="E109" s="1" t="s">
        <v>51</v>
      </c>
      <c r="F109" s="1" t="s">
        <v>26</v>
      </c>
      <c r="G109" s="1" t="s">
        <v>450</v>
      </c>
      <c r="H109" s="2" t="s">
        <v>50</v>
      </c>
      <c r="I109" s="3" t="s">
        <v>451</v>
      </c>
      <c r="J109" s="3"/>
      <c r="K109" s="1">
        <v>6</v>
      </c>
      <c r="L109" s="1">
        <v>6</v>
      </c>
      <c r="O109" s="3"/>
      <c r="Q109" s="1">
        <v>60</v>
      </c>
      <c r="R109" s="1">
        <v>35</v>
      </c>
      <c r="S109" s="4" t="str">
        <f t="shared" si="4"/>
        <v>True</v>
      </c>
      <c r="T109" s="4" t="str">
        <f>IFERROR(__xludf.DUMMYFUNCTION("CONCATENATE(if(REGEXMATCH(C109,""R""),"" Red"",""""),if(REGEXMATCH(C109,""O""),"" Orange"",""""),if(REGEXMATCH(C109,""Y""),"" Yellow"",""""),if(REGEXMATCH(C109,""G""),"" Green"",""""),if(REGEXMATCH(C109,""B""),"" Blue"",""""),if(REGEXMATCH(C109,""P""),"" "&amp;"Purple"",""""))")," Orange")</f>
        <v>Orange</v>
      </c>
      <c r="U109" s="4" t="str">
        <f>IFERROR(__xludf.DUMMYFUNCTION("TRIM(CONCAT(""[right]"", REGEXREPLACE(C109, ""([ROYGBPXZC_]|1?[0-9])"", ""[img=119]res://textures/icons/$0.png[/img]\\n"")))"),"[right][img=119]res://textures/icons/2.png[/img]\n[img=119]res://textures/icons/O.png[/img]\n")</f>
        <v>[right][img=119]res://textures/icons/2.png[/img]\n[img=119]res://textures/icons/O.png[/img]\n</v>
      </c>
      <c r="V109" s="4" t="str">
        <f>IFERROR(__xludf.DUMMYFUNCTION("SUBSTITUTE(SUBSTITUTE(SUBSTITUTE(SUBSTITUTE(REGEXREPLACE(SUBSTITUTE(SUBSTITUTE(SUBSTITUTE(SUBSTITUTE(REGEXREPLACE(I109, ""(\[([ROYGBPTQUXZC_]|1?[0-9])\])"", ""[img=45]res://textures/icons/$2.png[/img]""),""--"",""—""),""-&gt;"",""•""),""~@"", CONCATENATE(""["&amp;"i]"",REGEXEXTRACT(B109,""^([\s\S]*),|$""),""[/i]"")),""~"", CONCATENATE(""[i]"",B109,""[/i]"")),""(\([\s\S]*?\))"",""[i][color=#34343A]$0[/color][/i]""), ""&lt;"", ""[""), ""&gt;"", ""]""), ""[/p][p]"", ""[font_size=15]\n\n[/font_size]""), ""[br/]"", ""\n"")"),"[center][u]Reckless[/u] [i][color=#34343A]([i]Sara's Assistant[/i] can't intercept.)[/color][/i], [u]Subterfuge[/u] [i][color=#34343A](Damage dealt by this card, doesn't cause your opponents to draw cards.)[/color][/i][/center]")</f>
        <v xml:space="preserve">[center][u]Reckless[/u] [i][color=#34343A]([i]Sara's Assistant[/i] can't intercept.)[/color][/i], [u]Subterfuge[/u] [i][color=#34343A](Damage dealt by this card, doesn't cause your opponents to draw cards.)[/color][/i][/center]</v>
      </c>
      <c r="W109" s="4" t="str">
        <f t="shared" si="5"/>
        <v>[i]Asset[/i]</v>
      </c>
      <c r="X109" s="4" t="str">
        <f t="shared" si="6"/>
        <v>RT_OC_016</v>
      </c>
    </row>
    <row r="110" outlineLevel="1">
      <c r="A110" s="1" t="s">
        <v>452</v>
      </c>
      <c r="B110" s="1" t="s">
        <v>453</v>
      </c>
      <c r="C110" s="2" t="s">
        <v>324</v>
      </c>
      <c r="D110" s="6" t="str">
        <f>IFERROR(__xludf.DUMMYFUNCTION("IF(EQ(A110,B110),"""",SWITCH(IF(T110="""",0,COUNTA(SPLIT(T110,"" ""))),0,""Generic"",1,TRIM(T110),2,""Multicolor"",3,""Multicolor"",4,""Multicolor"",5,""Multicolor"",6,""Multicolor"",7,""Multicolor"",8,""Multicolor""))"),"Orange")</f>
        <v>Orange</v>
      </c>
      <c r="E110" s="1"/>
      <c r="F110" s="1" t="s">
        <v>33</v>
      </c>
      <c r="H110" s="2" t="s">
        <v>50</v>
      </c>
      <c r="I110" s="3" t="s">
        <v>454</v>
      </c>
      <c r="J110" s="3"/>
      <c r="O110" s="3"/>
      <c r="Q110" s="1">
        <v>60</v>
      </c>
      <c r="R110" s="1">
        <v>50</v>
      </c>
      <c r="S110" s="4" t="str">
        <f t="shared" si="4"/>
        <v>False</v>
      </c>
      <c r="T110" s="4" t="str">
        <f>IFERROR(__xludf.DUMMYFUNCTION("CONCATENATE(if(REGEXMATCH(C110,""R""),"" Red"",""""),if(REGEXMATCH(C110,""O""),"" Orange"",""""),if(REGEXMATCH(C110,""Y""),"" Yellow"",""""),if(REGEXMATCH(C110,""G""),"" Green"",""""),if(REGEXMATCH(C110,""B""),"" Blue"",""""),if(REGEXMATCH(C110,""P""),"" "&amp;"Purple"",""""))")," Orange")</f>
        <v>Orange</v>
      </c>
      <c r="U110" s="4" t="str">
        <f>IFERROR(__xludf.DUMMYFUNCTION("TRIM(CONCAT(""[right]"", REGEXREPLACE(C110, ""([ROYGBPXZC_]|1?[0-9])"", ""[img=119]res://textures/icons/$0.png[/img]\\n"")))"),"[right][img=119]res://textures/icons/O.png[/img]\n")</f>
        <v>[right][img=119]res://textures/icons/O.png[/img]\n</v>
      </c>
      <c r="V110" s="4" t="str">
        <f>IFERROR(__xludf.DUMMYFUNCTION("SUBSTITUTE(SUBSTITUTE(SUBSTITUTE(SUBSTITUTE(REGEXREPLACE(SUBSTITUTE(SUBSTITUTE(SUBSTITUTE(SUBSTITUTE(REGEXREPLACE(I110, ""(\[([ROYGBPTQUXZC_]|1?[0-9])\])"", ""[img=45]res://textures/icons/$2.png[/img]""),""--"",""—""),""-&gt;"",""•""),""~@"", CONCATENATE(""["&amp;"i]"",REGEXEXTRACT(B110,""^([\s\S]*),|$""),""[/i]"")),""~"", CONCATENATE(""[i]"",B110,""[/i]"")),""(\([\s\S]*?\))"",""[i][color=#34343A]$0[/color][/i]""), ""&lt;"", ""[""), ""&gt;"", ""]""), ""[/p][p]"", ""[font_size=15]\n\n[/font_size]""), ""[br/]"", ""\n"")"),"Choose an asset; until end of turn, it gains [u]subterfuge[/u] [i][color=#34343A](Damage dealt by that card, doesn't cause your opponents to draw cards.)[/color][/i]")</f>
        <v xml:space="preserve">Choose an asset; until end of turn, it gains [u]subterfuge[/u] [i][color=#34343A](Damage dealt by that card, doesn't cause your opponents to draw cards.)[/color][/i]</v>
      </c>
      <c r="W110" s="4" t="str">
        <f t="shared" si="5"/>
        <v>[i]Effect[/i]</v>
      </c>
      <c r="X110" s="4" t="str">
        <f t="shared" si="6"/>
        <v>RT_OC_017</v>
      </c>
    </row>
    <row r="111" outlineLevel="1">
      <c r="A111" s="1" t="s">
        <v>455</v>
      </c>
      <c r="B111" s="1" t="s">
        <v>456</v>
      </c>
      <c r="C111" s="2" t="s">
        <v>383</v>
      </c>
      <c r="D111" s="6" t="str">
        <f>IFERROR(__xludf.DUMMYFUNCTION("IF(EQ(A111,B111),"""",SWITCH(IF(T111="""",0,COUNTA(SPLIT(T111,"" ""))),0,""Generic"",1,TRIM(T111),2,""Multicolor"",3,""Multicolor"",4,""Multicolor"",5,""Multicolor"",6,""Multicolor"",7,""Multicolor"",8,""Multicolor""))"),"Orange")</f>
        <v>Orange</v>
      </c>
      <c r="E111" s="1" t="s">
        <v>51</v>
      </c>
      <c r="F111" s="1" t="s">
        <v>26</v>
      </c>
      <c r="G111" s="1" t="s">
        <v>356</v>
      </c>
      <c r="H111" s="2" t="s">
        <v>50</v>
      </c>
      <c r="I111" s="11" t="s">
        <v>457</v>
      </c>
      <c r="J111" s="3"/>
      <c r="K111" s="1">
        <v>5</v>
      </c>
      <c r="L111" s="1">
        <v>2</v>
      </c>
      <c r="O111" s="3"/>
      <c r="Q111" s="1">
        <v>60</v>
      </c>
      <c r="R111" s="1">
        <v>40</v>
      </c>
      <c r="S111" s="4" t="str">
        <f t="shared" si="4"/>
        <v>True</v>
      </c>
      <c r="T111" s="4" t="str">
        <f>IFERROR(__xludf.DUMMYFUNCTION("CONCATENATE(if(REGEXMATCH(C111,""R""),"" Red"",""""),if(REGEXMATCH(C111,""O""),"" Orange"",""""),if(REGEXMATCH(C111,""Y""),"" Yellow"",""""),if(REGEXMATCH(C111,""G""),"" Green"",""""),if(REGEXMATCH(C111,""B""),"" Blue"",""""),if(REGEXMATCH(C111,""P""),"" "&amp;"Purple"",""""))")," Orange")</f>
        <v>Orange</v>
      </c>
      <c r="U111" s="4" t="str">
        <f>IFERROR(__xludf.DUMMYFUNCTION("TRIM(CONCAT(""[right]"", REGEXREPLACE(C111, ""([ROYGBPXZC_]|1?[0-9])"", ""[img=119]res://textures/icons/$0.png[/img]\\n"")))"),"[right][img=119]res://textures/icons/1.png[/img]\n[img=119]res://textures/icons/O.png[/img]\n[img=119]res://textures/icons/O.png[/img]\n")</f>
        <v>[right][img=119]res://textures/icons/1.png[/img]\n[img=119]res://textures/icons/O.png[/img]\n[img=119]res://textures/icons/O.png[/img]\n</v>
      </c>
      <c r="V111" s="4" t="str">
        <f>IFERROR(__xludf.DUMMYFUNCTION("SUBSTITUTE(SUBSTITUTE(SUBSTITUTE(SUBSTITUTE(REGEXREPLACE(SUBSTITUTE(SUBSTITUTE(SUBSTITUTE(SUBSTITUTE(REGEXREPLACE(I111, ""(\[([ROYGBPTQUXZC_]|1?[0-9])\])"", ""[img=45]res://textures/icons/$2.png[/img]""),""--"",""—""),""-&gt;"",""•""),""~@"", CONCATENATE(""["&amp;"i]"",REGEXEXTRACT(B111,""^([\s\S]*),|$""),""[/i]"")),""~"", CONCATENATE(""[i]"",B111,""[/i]"")),""(\([\s\S]*?\))"",""[i][color=#34343A]$0[/color][/i]""), ""&lt;"", ""[""), ""&gt;"", ""]""), ""[/p][p]"", ""[font_size=15]\n\n[/font_size]""), ""[br/]"", ""\n"")"),"[center][u]Subterfuge[/u] [i][color=#34343A](Damage dealt by this card, doesn't cause your opponents to draw cards.)[/color][/i][/center]")</f>
        <v xml:space="preserve">[center][u]Subterfuge[/u] [i][color=#34343A](Damage dealt by this card, doesn't cause your opponents to draw cards.)[/color][/i][/center]</v>
      </c>
      <c r="W111" s="4" t="str">
        <f t="shared" si="5"/>
        <v>[i]Asset[/i]</v>
      </c>
      <c r="X111" s="4" t="str">
        <f t="shared" si="6"/>
        <v>RT_OC_018</v>
      </c>
    </row>
    <row r="112" outlineLevel="1">
      <c r="A112" s="1" t="s">
        <v>458</v>
      </c>
      <c r="B112" s="1" t="s">
        <v>459</v>
      </c>
      <c r="C112" s="2" t="s">
        <v>393</v>
      </c>
      <c r="D112" s="6" t="str">
        <f>IFERROR(__xludf.DUMMYFUNCTION("IF(EQ(A112,B112),"""",SWITCH(IF(T112="""",0,COUNTA(SPLIT(T112,"" ""))),0,""Generic"",1,TRIM(T112),2,""Multicolor"",3,""Multicolor"",4,""Multicolor"",5,""Multicolor"",6,""Multicolor"",7,""Multicolor"",8,""Multicolor""))"),"Orange")</f>
        <v>Orange</v>
      </c>
      <c r="E112" s="1" t="s">
        <v>79</v>
      </c>
      <c r="F112" s="1" t="s">
        <v>26</v>
      </c>
      <c r="G112" s="1" t="s">
        <v>352</v>
      </c>
      <c r="H112" s="2" t="s">
        <v>44</v>
      </c>
      <c r="I112" s="11" t="s">
        <v>460</v>
      </c>
      <c r="J112" s="3"/>
      <c r="K112" s="1">
        <v>5</v>
      </c>
      <c r="L112" s="1">
        <v>2</v>
      </c>
      <c r="O112" s="3"/>
      <c r="Q112" s="1">
        <v>50</v>
      </c>
      <c r="R112" s="1">
        <v>35</v>
      </c>
      <c r="S112" s="4" t="str">
        <f t="shared" si="4"/>
        <v>True</v>
      </c>
      <c r="T112" s="4" t="str">
        <f>IFERROR(__xludf.DUMMYFUNCTION("CONCATENATE(if(REGEXMATCH(C112,""R""),"" Red"",""""),if(REGEXMATCH(C112,""O""),"" Orange"",""""),if(REGEXMATCH(C112,""Y""),"" Yellow"",""""),if(REGEXMATCH(C112,""G""),"" Green"",""""),if(REGEXMATCH(C112,""B""),"" Blue"",""""),if(REGEXMATCH(C112,""P""),"" "&amp;"Purple"",""""))")," Orange")</f>
        <v>Orange</v>
      </c>
      <c r="U112" s="4" t="str">
        <f>IFERROR(__xludf.DUMMYFUNCTION("TRIM(CONCAT(""[right]"", REGEXREPLACE(C112, ""([ROYGBPXZC_]|1?[0-9])"", ""[img=119]res://textures/icons/$0.png[/img]\\n"")))"),"[right][img=119]res://textures/icons/2.png[/img]\n[img=119]res://textures/icons/O.png[/img]\n[img=119]res://textures/icons/O.png[/img]\n")</f>
        <v>[right][img=119]res://textures/icons/2.png[/img]\n[img=119]res://textures/icons/O.png[/img]\n[img=119]res://textures/icons/O.png[/img]\n</v>
      </c>
      <c r="V112" s="4" t="str">
        <f>IFERROR(__xludf.DUMMYFUNCTION("SUBSTITUTE(SUBSTITUTE(SUBSTITUTE(SUBSTITUTE(REGEXREPLACE(SUBSTITUTE(SUBSTITUTE(SUBSTITUTE(SUBSTITUTE(REGEXREPLACE(I112, ""(\[([ROYGBPTQUXZC_]|1?[0-9])\])"", ""[img=45]res://textures/icons/$2.png[/img]""),""--"",""—""),""-&gt;"",""•""),""~@"", CONCATENATE(""["&amp;"i]"",REGEXEXTRACT(B112,""^([\s\S]*),|$""),""[/i]"")),""~"", CONCATENATE(""[i]"",B112,""[/i]"")),""(\([\s\S]*?\))"",""[i][color=#34343A]$0[/color][/i]""), ""&lt;"", ""[""), ""&gt;"", ""]""), ""[/p][p]"", ""[font_size=15]\n\n[/font_size]""), ""[br/]"", ""\n"")"),"[center][u]Pierce[/u] [i][color=#34343A]([i]Big-Gunned Operative[/i] deals combat damage greater than the combined health of the assets intercepting it to the commander it is attacking and bypasses armor.)[/color][/i][/center]")</f>
        <v xml:space="preserve">[center][u]Pierce[/u] [i][color=#34343A]([i]Big-Gunned Operative[/i] deals combat damage greater than the combined health of the assets intercepting it to the commander it is attacking and bypasses armor.)[/color][/i][/center]</v>
      </c>
      <c r="W112" s="4" t="str">
        <f t="shared" si="5"/>
        <v>[i]Asset[/i]</v>
      </c>
      <c r="X112" s="4" t="str">
        <f t="shared" si="6"/>
        <v>RT_OC_019</v>
      </c>
    </row>
    <row r="113" outlineLevel="1">
      <c r="A113" s="1" t="s">
        <v>461</v>
      </c>
      <c r="B113" s="1" t="s">
        <v>462</v>
      </c>
      <c r="C113" s="2" t="s">
        <v>320</v>
      </c>
      <c r="D113" s="6" t="s">
        <v>431</v>
      </c>
      <c r="E113" s="1" t="s">
        <v>51</v>
      </c>
      <c r="F113" s="1" t="s">
        <v>26</v>
      </c>
      <c r="G113" s="1" t="s">
        <v>345</v>
      </c>
      <c r="H113" s="2" t="s">
        <v>44</v>
      </c>
      <c r="I113" s="3" t="s">
        <v>463</v>
      </c>
      <c r="J113" s="3"/>
      <c r="K113" s="1">
        <v>3</v>
      </c>
      <c r="L113" s="1">
        <v>3</v>
      </c>
      <c r="O113" s="3"/>
      <c r="Q113" s="1">
        <v>50</v>
      </c>
      <c r="R113" s="1">
        <v>40</v>
      </c>
      <c r="S113" s="4" t="str">
        <f t="shared" si="4"/>
        <v>True</v>
      </c>
      <c r="T113" s="4" t="s">
        <v>431</v>
      </c>
      <c r="U113" s="4" t="str">
        <f>IFERROR(__xludf.DUMMYFUNCTION("TRIM(CONCAT(""[right]"", REGEXREPLACE(C113, ""([ROYGBPXZC_]|1?[0-9])"", ""[img=119]res://textures/icons/$0.png[/img]\\n"")))"),"[right]")</f>
        <v>[right]</v>
      </c>
      <c r="V113" s="4" t="str">
        <f>IFERROR(__xludf.DUMMYFUNCTION("SUBSTITUTE(SUBSTITUTE(SUBSTITUTE(SUBSTITUTE(REGEXREPLACE(SUBSTITUTE(SUBSTITUTE(SUBSTITUTE(SUBSTITUTE(REGEXREPLACE(I113, ""(\[([ROYGBPTQUXZC_]|1?[0-9])\])"", ""[img=45]res://textures/icons/$2.png[/img]""),""--"",""—""),""-&gt;"",""•""),""~@"", CONCATENATE(""["&amp;"i]"",REGEXEXTRACT(B113,""^([\s\S]*),|$""),""[/i]"")),""~"", CONCATENATE(""[i]"",B113,""[/i]"")),""(\([\s\S]*?\))"",""[i][color=#34343A]$0[/color][/i]""), ""&lt;"", ""[""), ""&gt;"", ""]""), ""[/p][p]"", ""[font_size=15]\n\n[/font_size]""), ""[br/]"", ""\n"")"),"[center][u]Prepare 3 — [img=45]res://textures/icons/O.png[/img][/u] [i][color=#34343A](Pay [img=45]res://textures/icons/O.png[/img] and put [i]Assault Operative[/i] into your deck third from the top. When you would draw [i]Assault Operative[/i], instead d"&amp;"eploy it without paying its cost.)[/color][/i], [u]Armed — 'Fully Automatic Assault Rifle'[/u] [i][color=#34343A]([i]Assault Operative[/i] enters the battlefield with a transient [i]'Fully Automatic Assault Rifle'[/i] attached to it.)[/color][/i][/center]"&amp;"[p][i]Assault Operative[/i] must be prepared.[/p]")</f>
        <v xml:space="preserve">[center][u]Prepare 3 — [img=45]res://textures/icons/O.png[/img][/u] [i][color=#34343A](Pay [img=45]res://textures/icons/O.png[/img] and put [i]Assault Operative[/i] into your deck third from the top. When you would draw [i]Assault Operative[/i], instead deploy it without paying its cost.)[/color][/i], [u]Armed — 'Fully Automatic Assault Rifle'[/u] [i][color=#34343A]([i]Assault Operative[/i] enters the battlefield with a transient [i]'Fully Automatic Assault Rifle'[/i] attached to it.)[/color][/i][/center][p][i]Assault Operative[/i] must be prepared.[/p]</v>
      </c>
      <c r="W113" s="4" t="str">
        <f t="shared" si="5"/>
        <v>[i]Asset[/i]</v>
      </c>
      <c r="X113" s="4" t="str">
        <f t="shared" si="6"/>
        <v>RT_OC_020</v>
      </c>
    </row>
    <row r="114" outlineLevel="1">
      <c r="A114" s="1" t="s">
        <v>464</v>
      </c>
      <c r="B114" s="1" t="s">
        <v>465</v>
      </c>
      <c r="C114" s="2" t="s">
        <v>393</v>
      </c>
      <c r="D114" s="6" t="str">
        <f>IFERROR(__xludf.DUMMYFUNCTION("IF(EQ(A114,B114),"""",SWITCH(IF(T114="""",0,COUNTA(SPLIT(T114,"" ""))),0,""Generic"",1,TRIM(T114),2,""Multicolor"",3,""Multicolor"",4,""Multicolor"",5,""Multicolor"",6,""Multicolor"",7,""Multicolor"",8,""Multicolor""))"),"Orange")</f>
        <v>Orange</v>
      </c>
      <c r="E114" s="1" t="s">
        <v>79</v>
      </c>
      <c r="F114" s="1" t="s">
        <v>26</v>
      </c>
      <c r="G114" s="1" t="s">
        <v>466</v>
      </c>
      <c r="H114" s="2" t="s">
        <v>44</v>
      </c>
      <c r="I114" s="11" t="s">
        <v>467</v>
      </c>
      <c r="J114" s="3"/>
      <c r="K114" s="1">
        <v>3</v>
      </c>
      <c r="L114" s="1">
        <v>3</v>
      </c>
      <c r="O114" s="3"/>
      <c r="Q114" s="1">
        <v>60</v>
      </c>
      <c r="R114" s="1">
        <v>35</v>
      </c>
      <c r="S114" s="4" t="str">
        <f t="shared" si="4"/>
        <v>True</v>
      </c>
      <c r="T114" s="4" t="str">
        <f>IFERROR(__xludf.DUMMYFUNCTION("CONCATENATE(if(REGEXMATCH(C114,""R""),"" Red"",""""),if(REGEXMATCH(C114,""O""),"" Orange"",""""),if(REGEXMATCH(C114,""Y""),"" Yellow"",""""),if(REGEXMATCH(C114,""G""),"" Green"",""""),if(REGEXMATCH(C114,""B""),"" Blue"",""""),if(REGEXMATCH(C114,""P""),"" "&amp;"Purple"",""""))")," Orange")</f>
        <v>Orange</v>
      </c>
      <c r="U114" s="4" t="str">
        <f>IFERROR(__xludf.DUMMYFUNCTION("TRIM(CONCAT(""[right]"", REGEXREPLACE(C114, ""([ROYGBPXZC_]|1?[0-9])"", ""[img=119]res://textures/icons/$0.png[/img]\\n"")))"),"[right][img=119]res://textures/icons/2.png[/img]\n[img=119]res://textures/icons/O.png[/img]\n[img=119]res://textures/icons/O.png[/img]\n")</f>
        <v>[right][img=119]res://textures/icons/2.png[/img]\n[img=119]res://textures/icons/O.png[/img]\n[img=119]res://textures/icons/O.png[/img]\n</v>
      </c>
      <c r="V114" s="4" t="str">
        <f>IFERROR(__xludf.DUMMYFUNCTION("SUBSTITUTE(SUBSTITUTE(SUBSTITUTE(SUBSTITUTE(REGEXREPLACE(SUBSTITUTE(SUBSTITUTE(SUBSTITUTE(SUBSTITUTE(REGEXREPLACE(I114, ""(\[([ROYGBPTQUXZC_]|1?[0-9])\])"", ""[img=45]res://textures/icons/$2.png[/img]""),""--"",""—""),""-&gt;"",""•""),""~@"", CONCATENATE(""["&amp;"i]"",REGEXEXTRACT(B114,""^([\s\S]*),|$""),""[/i]"")),""~"", CONCATENATE(""[i]"",B114,""[/i]"")),""(\([\s\S]*?\))"",""[i][color=#34343A]$0[/color][/i]""), ""&lt;"", ""[""), ""&gt;"", ""]""), ""[/p][p]"", ""[font_size=15]\n\n[/font_size]""), ""[br/]"", ""\n"")"),"[center][u]Doubt 1[/u] [i][color=#34343A](When you deploy [i]Bribed Guard[/i], shuffle a 'Doubt' into your deck.)[/color][/i][/center][p][u]Once[/u] [i][color=#34343A](As you activate this effect, remove it from this card)[/color][/i]: Choose a police or "&amp;"prison card; its owner [u]forfeits[/u] [i][color=#34343A](Put the specified card into its owner's discard.)[/color][/i] it.[/p]")</f>
        <v xml:space="preserve">[center][u]Doubt 1[/u] [i][color=#34343A](When you deploy [i]Bribed Guard[/i], shuffle a 'Doubt' into your deck.)[/color][/i][/center][p][u]Once[/u] [i][color=#34343A](As you activate this effect, remove it from this card)[/color][/i]: Choose a police or prison card; its owner [u]forfeits[/u] [i][color=#34343A](Put the specified card into its owner's discard.)[/color][/i] it.[/p]</v>
      </c>
      <c r="W114" s="4" t="str">
        <f t="shared" si="5"/>
        <v>[i]Asset[/i]</v>
      </c>
      <c r="X114" s="4" t="str">
        <f t="shared" si="6"/>
        <v>RT_OC_021</v>
      </c>
    </row>
    <row r="115" outlineLevel="1">
      <c r="A115" s="1" t="s">
        <v>468</v>
      </c>
      <c r="B115" s="1" t="str">
        <f t="shared" ref="B115:B178" si="7">A115</f>
        <v>OC_022</v>
      </c>
      <c r="C115" s="2"/>
      <c r="D115" s="6" t="str">
        <f>IFERROR(__xludf.DUMMYFUNCTION("IF(EQ(A115,B115),"""",SWITCH(IF(T115="""",0,COUNTA(SPLIT(T115,"" ""))),0,""Generic"",1,TRIM(T115),2,""Multicolor"",3,""Multicolor"",4,""Multicolor"",5,""Multicolor"",6,""Multicolor"",7,""Multicolor"",8,""Multicolor""))"),"")</f>
        <v/>
      </c>
      <c r="E115" s="1"/>
      <c r="F115" s="1"/>
      <c r="H115" s="2"/>
      <c r="I115" s="3"/>
      <c r="J115" s="3"/>
      <c r="O115" s="3"/>
      <c r="Q115" s="1">
        <v>60</v>
      </c>
      <c r="R115" s="1">
        <v>50</v>
      </c>
      <c r="S115" s="4" t="str">
        <f t="shared" si="4"/>
        <v>False</v>
      </c>
      <c r="T115" s="4" t="str">
        <f>IFERROR(__xludf.DUMMYFUNCTION("CONCATENATE(if(REGEXMATCH(C115,""R""),"" Red"",""""),if(REGEXMATCH(C115,""O""),"" Orange"",""""),if(REGEXMATCH(C115,""Y""),"" Yellow"",""""),if(REGEXMATCH(C115,""G""),"" Green"",""""),if(REGEXMATCH(C115,""B""),"" Blue"",""""),if(REGEXMATCH(C115,""P""),"" "&amp;"Purple"",""""))"),"")</f>
        <v/>
      </c>
      <c r="U115" s="4" t="str">
        <f>IFERROR(__xludf.DUMMYFUNCTION("TRIM(CONCAT(""[right]"", REGEXREPLACE(C115, ""([ROYGBPXZC_]|1?[0-9])"", ""[img=119]res://textures/icons/$0.png[/img]\\n"")))"),"[right]")</f>
        <v>[right]</v>
      </c>
      <c r="V115" s="4" t="str">
        <f>IFERROR(__xludf.DUMMYFUNCTION("SUBSTITUTE(SUBSTITUTE(SUBSTITUTE(SUBSTITUTE(REGEXREPLACE(SUBSTITUTE(SUBSTITUTE(SUBSTITUTE(SUBSTITUTE(REGEXREPLACE(I115, ""(\[([ROYGBPTQUXZC_]|1?[0-9])\])"", ""[img=45]res://textures/icons/$2.png[/img]""),""--"",""—""),""-&gt;"",""•""),""~@"", CONCATENATE(""["&amp;"i]"",REGEXEXTRACT(B115,""^([\s\S]*),|$""),""[/i]"")),""~"", CONCATENATE(""[i]"",B115,""[/i]"")),""(\([\s\S]*?\))"",""[i][color=#34343A]$0[/color][/i]""), ""&lt;"", ""[""), ""&gt;"", ""]""), ""[/p][p]"", ""[font_size=15]\n\n[/font_size]""), ""[br/]"", ""\n"")"),"")</f>
        <v/>
      </c>
      <c r="W115" s="4" t="str">
        <f t="shared" si="5"/>
        <v>[i][/i]</v>
      </c>
      <c r="X115" s="4" t="str">
        <f t="shared" si="6"/>
        <v>0</v>
      </c>
    </row>
    <row r="116" outlineLevel="1">
      <c r="A116" s="1" t="s">
        <v>469</v>
      </c>
      <c r="B116" s="1" t="str">
        <f t="shared" si="7"/>
        <v>OC_023</v>
      </c>
      <c r="C116" s="2"/>
      <c r="D116" s="6" t="str">
        <f>IFERROR(__xludf.DUMMYFUNCTION("IF(EQ(A116,B116),"""",SWITCH(IF(T116="""",0,COUNTA(SPLIT(T116,"" ""))),0,""Generic"",1,TRIM(T116),2,""Multicolor"",3,""Multicolor"",4,""Multicolor"",5,""Multicolor"",6,""Multicolor"",7,""Multicolor"",8,""Multicolor""))"),"")</f>
        <v/>
      </c>
      <c r="E116" s="1"/>
      <c r="F116" s="1"/>
      <c r="H116" s="2"/>
      <c r="I116" s="3"/>
      <c r="J116" s="3"/>
      <c r="O116" s="3"/>
      <c r="Q116" s="1">
        <v>60</v>
      </c>
      <c r="R116" s="1">
        <v>50</v>
      </c>
      <c r="S116" s="4" t="str">
        <f t="shared" si="4"/>
        <v>False</v>
      </c>
      <c r="T116" s="4" t="str">
        <f>IFERROR(__xludf.DUMMYFUNCTION("CONCATENATE(if(REGEXMATCH(C116,""R""),"" Red"",""""),if(REGEXMATCH(C116,""O""),"" Orange"",""""),if(REGEXMATCH(C116,""Y""),"" Yellow"",""""),if(REGEXMATCH(C116,""G""),"" Green"",""""),if(REGEXMATCH(C116,""B""),"" Blue"",""""),if(REGEXMATCH(C116,""P""),"" "&amp;"Purple"",""""))"),"")</f>
        <v/>
      </c>
      <c r="U116" s="4" t="str">
        <f>IFERROR(__xludf.DUMMYFUNCTION("TRIM(CONCAT(""[right]"", REGEXREPLACE(C116, ""([ROYGBPXZC_]|1?[0-9])"", ""[img=119]res://textures/icons/$0.png[/img]\\n"")))"),"[right]")</f>
        <v>[right]</v>
      </c>
      <c r="V116" s="4" t="str">
        <f>IFERROR(__xludf.DUMMYFUNCTION("SUBSTITUTE(SUBSTITUTE(SUBSTITUTE(SUBSTITUTE(REGEXREPLACE(SUBSTITUTE(SUBSTITUTE(SUBSTITUTE(SUBSTITUTE(REGEXREPLACE(I116, ""(\[([ROYGBPTQUXZC_]|1?[0-9])\])"", ""[img=45]res://textures/icons/$2.png[/img]""),""--"",""—""),""-&gt;"",""•""),""~@"", CONCATENATE(""["&amp;"i]"",REGEXEXTRACT(B116,""^([\s\S]*),|$""),""[/i]"")),""~"", CONCATENATE(""[i]"",B116,""[/i]"")),""(\([\s\S]*?\))"",""[i][color=#34343A]$0[/color][/i]""), ""&lt;"", ""[""), ""&gt;"", ""]""), ""[/p][p]"", ""[font_size=15]\n\n[/font_size]""), ""[br/]"", ""\n"")"),"")</f>
        <v/>
      </c>
      <c r="W116" s="4" t="str">
        <f t="shared" si="5"/>
        <v>[i][/i]</v>
      </c>
      <c r="X116" s="4" t="str">
        <f t="shared" si="6"/>
        <v>0</v>
      </c>
    </row>
    <row r="117" outlineLevel="1">
      <c r="A117" s="1" t="s">
        <v>470</v>
      </c>
      <c r="B117" s="1" t="str">
        <f t="shared" si="7"/>
        <v>OC_024</v>
      </c>
      <c r="C117" s="2"/>
      <c r="D117" s="6" t="str">
        <f>IFERROR(__xludf.DUMMYFUNCTION("IF(EQ(A117,B117),"""",SWITCH(IF(T117="""",0,COUNTA(SPLIT(T117,"" ""))),0,""Generic"",1,TRIM(T117),2,""Multicolor"",3,""Multicolor"",4,""Multicolor"",5,""Multicolor"",6,""Multicolor"",7,""Multicolor"",8,""Multicolor""))"),"")</f>
        <v/>
      </c>
      <c r="E117" s="1"/>
      <c r="F117" s="1"/>
      <c r="H117" s="2"/>
      <c r="I117" s="3"/>
      <c r="J117" s="3"/>
      <c r="O117" s="3"/>
      <c r="Q117" s="1">
        <v>60</v>
      </c>
      <c r="R117" s="1">
        <v>50</v>
      </c>
      <c r="S117" s="4" t="str">
        <f t="shared" si="4"/>
        <v>False</v>
      </c>
      <c r="T117" s="4" t="str">
        <f>IFERROR(__xludf.DUMMYFUNCTION("CONCATENATE(if(REGEXMATCH(C117,""R""),"" Red"",""""),if(REGEXMATCH(C117,""O""),"" Orange"",""""),if(REGEXMATCH(C117,""Y""),"" Yellow"",""""),if(REGEXMATCH(C117,""G""),"" Green"",""""),if(REGEXMATCH(C117,""B""),"" Blue"",""""),if(REGEXMATCH(C117,""P""),"" "&amp;"Purple"",""""))"),"")</f>
        <v/>
      </c>
      <c r="U117" s="4" t="str">
        <f>IFERROR(__xludf.DUMMYFUNCTION("TRIM(CONCAT(""[right]"", REGEXREPLACE(C117, ""([ROYGBPXZC_]|1?[0-9])"", ""[img=119]res://textures/icons/$0.png[/img]\\n"")))"),"[right]")</f>
        <v>[right]</v>
      </c>
      <c r="V117" s="4" t="str">
        <f>IFERROR(__xludf.DUMMYFUNCTION("SUBSTITUTE(SUBSTITUTE(SUBSTITUTE(SUBSTITUTE(REGEXREPLACE(SUBSTITUTE(SUBSTITUTE(SUBSTITUTE(SUBSTITUTE(REGEXREPLACE(I117, ""(\[([ROYGBPTQUXZC_]|1?[0-9])\])"", ""[img=45]res://textures/icons/$2.png[/img]""),""--"",""—""),""-&gt;"",""•""),""~@"", CONCATENATE(""["&amp;"i]"",REGEXEXTRACT(B117,""^([\s\S]*),|$""),""[/i]"")),""~"", CONCATENATE(""[i]"",B117,""[/i]"")),""(\([\s\S]*?\))"",""[i][color=#34343A]$0[/color][/i]""), ""&lt;"", ""[""), ""&gt;"", ""]""), ""[/p][p]"", ""[font_size=15]\n\n[/font_size]""), ""[br/]"", ""\n"")"),"")</f>
        <v/>
      </c>
      <c r="W117" s="4" t="str">
        <f t="shared" si="5"/>
        <v>[i][/i]</v>
      </c>
      <c r="X117" s="4" t="str">
        <f t="shared" si="6"/>
        <v>0</v>
      </c>
    </row>
    <row r="118">
      <c r="A118" s="1" t="s">
        <v>471</v>
      </c>
      <c r="B118" s="1" t="s">
        <v>472</v>
      </c>
      <c r="C118" s="2" t="s">
        <v>473</v>
      </c>
      <c r="D118" s="6" t="str">
        <f>IFERROR(__xludf.DUMMYFUNCTION("IF(EQ(A118,B118),"""",SWITCH(IF(T118="""",0,COUNTA(SPLIT(T118,"" ""))),0,""Generic"",1,TRIM(T118),2,""Multicolor"",3,""Multicolor"",4,""Multicolor"",5,""Multicolor"",6,""Multicolor"",7,""Multicolor"",8,""Multicolor""))"),"Yellow")</f>
        <v>Yellow</v>
      </c>
      <c r="E118" s="1" t="s">
        <v>51</v>
      </c>
      <c r="F118" s="1" t="s">
        <v>73</v>
      </c>
      <c r="G118" s="1" t="s">
        <v>474</v>
      </c>
      <c r="H118" s="2" t="s">
        <v>96</v>
      </c>
      <c r="I118" s="3" t="s">
        <v>475</v>
      </c>
      <c r="J118" s="3"/>
      <c r="K118" s="1">
        <v>11</v>
      </c>
      <c r="L118" s="1">
        <v>9</v>
      </c>
      <c r="O118" s="3"/>
      <c r="Q118" s="1">
        <v>45</v>
      </c>
      <c r="R118" s="1">
        <v>35</v>
      </c>
      <c r="S118" s="4" t="str">
        <f t="shared" si="4"/>
        <v>True</v>
      </c>
      <c r="T118" s="4" t="str">
        <f>IFERROR(__xludf.DUMMYFUNCTION("CONCATENATE(if(REGEXMATCH(C118,""R""),"" Red"",""""),if(REGEXMATCH(C118,""O""),"" Orange"",""""),if(REGEXMATCH(C118,""Y""),"" Yellow"",""""),if(REGEXMATCH(C118,""G""),"" Green"",""""),if(REGEXMATCH(C118,""B""),"" Blue"",""""),if(REGEXMATCH(C118,""P""),"" "&amp;"Purple"",""""))")," Yellow")</f>
        <v>Yellow</v>
      </c>
      <c r="U118" s="4" t="str">
        <f>IFERROR(__xludf.DUMMYFUNCTION("TRIM(CONCAT(""[right]"", REGEXREPLACE(C118, ""([ROYGBPXZC_]|1?[0-9])"", ""[img=119]res://textures/icons/$0.png[/img]\\n"")))"),"[right][img=119]res://textures/icons/3.png[/img]\n[img=119]res://textures/icons/Y.png[/img]\n[img=119]res://textures/icons/Y.png[/img]\n")</f>
        <v>[right][img=119]res://textures/icons/3.png[/img]\n[img=119]res://textures/icons/Y.png[/img]\n[img=119]res://textures/icons/Y.png[/img]\n</v>
      </c>
      <c r="V118" s="4" t="str">
        <f>IFERROR(__xludf.DUMMYFUNCTION("SUBSTITUTE(SUBSTITUTE(SUBSTITUTE(SUBSTITUTE(REGEXREPLACE(SUBSTITUTE(SUBSTITUTE(SUBSTITUTE(SUBSTITUTE(REGEXREPLACE(I118, ""(\[([ROYGBPTQUXZC_]|1?[0-9])\])"", ""[img=45]res://textures/icons/$2.png[/img]""),""--"",""—""),""-&gt;"",""•""),""~@"", CONCATENATE(""["&amp;"i]"",REGEXEXTRACT(B118,""^([\s\S]*),|$""),""[/i]"")),""~"", CONCATENATE(""[i]"",B118,""[/i]"")),""(\([\s\S]*?\))"",""[i][color=#34343A]$0[/color][/i]""), ""&lt;"", ""[""), ""&gt;"", ""]""), ""[/p][p]"", ""[font_size=15]\n\n[/font_size]""), ""[br/]"", ""\n"")"),"[center][i][color=#34343A](Becomes [i]'Brigg's Remorse'[/i] if you already control [i]Martha Briggs[/i].)[/color][/i][/center][p][b][i]As Commander[/i] —[/b] Assets you control have [u]airdrop[/u] and ""When this asset would normally finish deploying, you"&amp;" have a 75% chance to [u]forfeit[/u] it unless you pay a quarter of its cost [i][color=#34343A](separated by type, rounded up.)[/color][/i]""[font_size=15]\n\n[/font_size][b][i]As Asset[/i] —[/b] After interceptors are declared, if [i]Martha Briggs[/i] wo"&amp;"uld do combat damage to a commander, you may put a combatant onto the battlefield attacking. If you do, [u]forfeit[/u] it at the end of your turn.[/p]")</f>
        <v xml:space="preserve">[center][i][color=#34343A](Becomes [i]'Brigg's Remorse'[/i] if you already control [i]Martha Briggs[/i].)[/color][/i][/center][p][b][i]As Commander[/i] —[/b] Assets you control have [u]airdrop[/u] and "When this asset would normally finish deploying, you have a 75% chance to [u]forfeit[/u] it unless you pay a quarter of its cost [i][color=#34343A](separated by type, rounded up.)[/color][/i]"[font_size=15]\n\n[/font_size][b][i]As Asset[/i] —[/b] After interceptors are declared, if [i]Martha Briggs[/i] would do combat damage to a commander, you may put a combatant onto the battlefield attacking. If you do, [u]forfeit[/u] it at the end of your turn.[/p]</v>
      </c>
      <c r="W118" s="4" t="str">
        <f t="shared" si="5"/>
        <v>[i]Commander[/i]</v>
      </c>
      <c r="X118" s="4" t="str">
        <f t="shared" si="6"/>
        <v>RT_Y_CMDR_1</v>
      </c>
    </row>
    <row r="119" outlineLevel="1">
      <c r="A119" s="1" t="s">
        <v>476</v>
      </c>
      <c r="B119" s="4" t="s">
        <v>477</v>
      </c>
      <c r="C119" s="5" t="s">
        <v>478</v>
      </c>
      <c r="D119" s="6" t="str">
        <f>IFERROR(__xludf.DUMMYFUNCTION("IF(EQ(A119,B119),"""",SWITCH(IF(T119="""",0,COUNTA(SPLIT(T119,"" ""))),0,""Generic"",1,TRIM(T119),2,""Multicolor"",3,""Multicolor"",4,""Multicolor"",5,""Multicolor"",6,""Multicolor"",7,""Multicolor"",8,""Multicolor""))"),"Yellow")</f>
        <v>Yellow</v>
      </c>
      <c r="E119" s="4"/>
      <c r="F119" s="4" t="s">
        <v>87</v>
      </c>
      <c r="G119" s="4" t="s">
        <v>88</v>
      </c>
      <c r="H119" s="5" t="s">
        <v>25</v>
      </c>
      <c r="I119" s="10" t="s">
        <v>479</v>
      </c>
      <c r="J119" s="7" t="s">
        <v>480</v>
      </c>
      <c r="O119" s="3"/>
      <c r="Q119" s="1"/>
      <c r="R119" s="1"/>
      <c r="S119" s="4" t="str">
        <f t="shared" si="4"/>
        <v>False</v>
      </c>
      <c r="T119" s="4" t="str">
        <f>IFERROR(__xludf.DUMMYFUNCTION("CONCATENATE(if(REGEXMATCH(C119,""R""),"" Red"",""""),if(REGEXMATCH(C119,""O""),"" Orange"",""""),if(REGEXMATCH(C119,""Y""),"" Yellow"",""""),if(REGEXMATCH(C119,""G""),"" Green"",""""),if(REGEXMATCH(C119,""B""),"" Blue"",""""),if(REGEXMATCH(C119,""P""),"" "&amp;"Purple"",""""))")," Yellow")</f>
        <v>Yellow</v>
      </c>
      <c r="U119" s="4" t="str">
        <f>IFERROR(__xludf.DUMMYFUNCTION("TRIM(CONCAT(""[right]"", REGEXREPLACE(C119, ""([ROYGBPXZC_]|1?[0-9])"", ""[img=119]res://textures/icons/$0.png[/img]\\n"")))"),"[right][img=119]res://textures/icons/X.png[/img]\n[img=119]res://textures/icons/Y.png[/img]\n")</f>
        <v>[right][img=119]res://textures/icons/X.png[/img]\n[img=119]res://textures/icons/Y.png[/img]\n</v>
      </c>
      <c r="V119" s="4" t="str">
        <f>IFERROR(__xludf.DUMMYFUNCTION("SUBSTITUTE(SUBSTITUTE(SUBSTITUTE(SUBSTITUTE(REGEXREPLACE(SUBSTITUTE(SUBSTITUTE(SUBSTITUTE(SUBSTITUTE(REGEXREPLACE(I119, ""(\[([ROYGBPTQUXZC_]|1?[0-9])\])"", ""[img=45]res://textures/icons/$2.png[/img]""),""--"",""—""),""-&gt;"",""•""),""~@"", CONCATENATE(""["&amp;"i]"",REGEXEXTRACT(B119,""^([\s\S]*),|$""),""[/i]"")),""~"", CONCATENATE(""[i]"",B119,""[/i]"")),""(\([\s\S]*?\))"",""[i][color=#34343A]$0[/color][/i]""), ""&lt;"", ""[""), ""&gt;"", ""]""), ""[/p][p]"", ""[font_size=15]\n\n[/font_size]""), ""[br/]"", ""\n"")"),"[p][i]Brigg's Remorse[/i] deals [img=45]res://textures/icons/X.png[/img] to an asset or player of your choice.[font_size=15]\n\n[/font_size]You may deploy an asset in your hand with [u]generalized cost[/u] [i][color=#34343A](The cost of the card if all ty"&amp;"ped symbols were replaced with generic numbers. E.x. [i]Brigg's Remorse[/i] has a generalized cost of [img=45]res://textures/icons/1.png[/img].)[/color][/i] [img=45]res://textures/icons/X.png[/img] or less without paying its cost.[font_size=15]\n\n[/font_"&amp;"size][u]Personal[/u] [i][color=#34343A](Shuffle [i]'Martha Briggs, Spacecorp Commander'[/i] into your deck.)[/color][/i][/p]")</f>
        <v xml:space="preserve">[p][i]Brigg's Remorse[/i] deals [img=45]res://textures/icons/X.png[/img] to an asset or player of your choice.[font_size=15]\n\n[/font_size]You may deploy an asset in your hand with [u]generalized cost[/u] [i][color=#34343A](The cost of the card if all typed symbols were replaced with generic numbers. E.x. [i]Brigg's Remorse[/i] has a generalized cost of [img=45]res://textures/icons/1.png[/img].)[/color][/i] [img=45]res://textures/icons/X.png[/img] or less without paying its cost.[font_size=15]\n\n[/font_size][u]Personal[/u] [i][color=#34343A](Shuffle [i]'Martha Briggs, Spacecorp Commander'[/i] into your deck.)[/color][/i][/p]</v>
      </c>
      <c r="W119" s="4" t="str">
        <f t="shared" si="5"/>
        <v xml:space="preserve">[i]R. Effect[/i]</v>
      </c>
      <c r="X119" s="4" t="str">
        <f t="shared" si="6"/>
        <v>RT_Y_CMDR_1b</v>
      </c>
    </row>
    <row r="120" outlineLevel="1">
      <c r="A120" s="1" t="s">
        <v>481</v>
      </c>
      <c r="B120" s="4" t="s">
        <v>482</v>
      </c>
      <c r="C120" s="5" t="s">
        <v>483</v>
      </c>
      <c r="D120" s="6" t="str">
        <f>IFERROR(__xludf.DUMMYFUNCTION("IF(EQ(A120,B120),"""",SWITCH(IF(T120="""",0,COUNTA(SPLIT(T120,"" ""))),0,""Generic"",1,TRIM(T120),2,""Multicolor"",3,""Multicolor"",4,""Multicolor"",5,""Multicolor"",6,""Multicolor"",7,""Multicolor"",8,""Multicolor""))"),"Yellow")</f>
        <v>Yellow</v>
      </c>
      <c r="E120" s="4"/>
      <c r="F120" s="4" t="s">
        <v>33</v>
      </c>
      <c r="G120" s="4"/>
      <c r="H120" s="5" t="s">
        <v>81</v>
      </c>
      <c r="I120" s="7" t="s">
        <v>484</v>
      </c>
      <c r="J120" s="7" t="s">
        <v>485</v>
      </c>
      <c r="O120" s="3"/>
      <c r="Q120" s="1">
        <v>50</v>
      </c>
      <c r="R120" s="1">
        <v>50</v>
      </c>
      <c r="S120" s="4" t="str">
        <f t="shared" si="4"/>
        <v>False</v>
      </c>
      <c r="T120" s="4" t="str">
        <f>IFERROR(__xludf.DUMMYFUNCTION("CONCATENATE(if(REGEXMATCH(C120,""R""),"" Red"",""""),if(REGEXMATCH(C120,""O""),"" Orange"",""""),if(REGEXMATCH(C120,""Y""),"" Yellow"",""""),if(REGEXMATCH(C120,""G""),"" Green"",""""),if(REGEXMATCH(C120,""B""),"" Blue"",""""),if(REGEXMATCH(C120,""P""),"" "&amp;"Purple"",""""))")," Yellow")</f>
        <v>Yellow</v>
      </c>
      <c r="U120" s="4" t="str">
        <f>IFERROR(__xludf.DUMMYFUNCTION("TRIM(CONCAT(""[right]"", REGEXREPLACE(C120, ""([ROYGBPXZC_]|1?[0-9])"", ""[img=119]res://textures/icons/$0.png[/img]\\n"")))"),"[right][img=119]res://textures/icons/1.png[/img]\n[img=119]res://textures/icons/Y.png[/img]\n")</f>
        <v>[right][img=119]res://textures/icons/1.png[/img]\n[img=119]res://textures/icons/Y.png[/img]\n</v>
      </c>
      <c r="V120" s="4" t="str">
        <f>IFERROR(__xludf.DUMMYFUNCTION("SUBSTITUTE(SUBSTITUTE(SUBSTITUTE(SUBSTITUTE(REGEXREPLACE(SUBSTITUTE(SUBSTITUTE(SUBSTITUTE(SUBSTITUTE(REGEXREPLACE(I120, ""(\[([ROYGBPTQUXZC_]|1?[0-9])\])"", ""[img=45]res://textures/icons/$2.png[/img]""),""--"",""—""),""-&gt;"",""•""),""~@"", CONCATENATE(""["&amp;"i]"",REGEXEXTRACT(B120,""^([\s\S]*),|$""),""[/i]"")),""~"", CONCATENATE(""[i]"",B120,""[/i]"")),""(\([\s\S]*?\))"",""[i][color=#34343A]$0[/color][/i]""), ""&lt;"", ""[""), ""&gt;"", ""]""), ""[/p][p]"", ""[font_size=15]\n\n[/font_size]""), ""[br/]"", ""\n"")"),"[center][u]Retribution[/u] [i][color=#34343A](When you draw [i]Gunpoint Diplomacy[/i] as a result of taking damage, you may deploy it without paying its cost.)[/color][/i][/center][p]Choose an opponent, then draw 3 cards, unless their commander takes 6 da"&amp;"mage.[/p]")</f>
        <v xml:space="preserve">[center][u]Retribution[/u] [i][color=#34343A](When you draw [i]Gunpoint Diplomacy[/i] as a result of taking damage, you may deploy it without paying its cost.)[/color][/i][/center][p]Choose an opponent, then draw 3 cards, unless their commander takes 6 damage.[/p]</v>
      </c>
      <c r="W120" s="4" t="str">
        <f t="shared" si="5"/>
        <v>[i]Effect[/i]</v>
      </c>
      <c r="X120" s="4" t="str">
        <f t="shared" si="6"/>
        <v>RT_YR_001</v>
      </c>
    </row>
    <row r="121" outlineLevel="1">
      <c r="A121" s="1" t="s">
        <v>486</v>
      </c>
      <c r="B121" s="1" t="s">
        <v>487</v>
      </c>
      <c r="C121" s="2" t="s">
        <v>488</v>
      </c>
      <c r="D121" s="6" t="str">
        <f>IFERROR(__xludf.DUMMYFUNCTION("IF(EQ(A121,B121),"""",SWITCH(IF(T121="""",0,COUNTA(SPLIT(T121,"" ""))),0,""Generic"",1,TRIM(T121),2,""Multicolor"",3,""Multicolor"",4,""Multicolor"",5,""Multicolor"",6,""Multicolor"",7,""Multicolor"",8,""Multicolor""))"),"Yellow")</f>
        <v>Yellow</v>
      </c>
      <c r="E121" s="1"/>
      <c r="F121" s="1" t="s">
        <v>33</v>
      </c>
      <c r="H121" s="2" t="s">
        <v>81</v>
      </c>
      <c r="I121" s="3" t="s">
        <v>489</v>
      </c>
      <c r="J121" s="3"/>
      <c r="O121" s="3"/>
      <c r="Q121" s="1">
        <v>60</v>
      </c>
      <c r="R121" s="1">
        <v>50</v>
      </c>
      <c r="S121" s="4" t="str">
        <f t="shared" si="4"/>
        <v>False</v>
      </c>
      <c r="T121" s="4" t="str">
        <f>IFERROR(__xludf.DUMMYFUNCTION("CONCATENATE(if(REGEXMATCH(C121,""R""),"" Red"",""""),if(REGEXMATCH(C121,""O""),"" Orange"",""""),if(REGEXMATCH(C121,""Y""),"" Yellow"",""""),if(REGEXMATCH(C121,""G""),"" Green"",""""),if(REGEXMATCH(C121,""B""),"" Blue"",""""),if(REGEXMATCH(C121,""P""),"" "&amp;"Purple"",""""))")," Yellow")</f>
        <v>Yellow</v>
      </c>
      <c r="U121" s="4" t="str">
        <f>IFERROR(__xludf.DUMMYFUNCTION("TRIM(CONCAT(""[right]"", REGEXREPLACE(C121, ""([ROYGBPXZC_]|1?[0-9])"", ""[img=119]res://textures/icons/$0.png[/img]\\n"")))"),"[right][img=119]res://textures/icons/1.png[/img]\n[img=119]res://textures/icons/Y.png[/img]\n[img=119]res://textures/icons/Y.png[/img]\n")</f>
        <v>[right][img=119]res://textures/icons/1.png[/img]\n[img=119]res://textures/icons/Y.png[/img]\n[img=119]res://textures/icons/Y.png[/img]\n</v>
      </c>
      <c r="V121" s="4" t="str">
        <f>IFERROR(__xludf.DUMMYFUNCTION("SUBSTITUTE(SUBSTITUTE(SUBSTITUTE(SUBSTITUTE(REGEXREPLACE(SUBSTITUTE(SUBSTITUTE(SUBSTITUTE(SUBSTITUTE(REGEXREPLACE(I121, ""(\[([ROYGBPTQUXZC_]|1?[0-9])\])"", ""[img=45]res://textures/icons/$2.png[/img]""),""--"",""—""),""-&gt;"",""•""),""~@"", CONCATENATE(""["&amp;"i]"",REGEXEXTRACT(B121,""^([\s\S]*),|$""),""[/i]"")),""~"", CONCATENATE(""[i]"",B121,""[/i]"")),""(\([\s\S]*?\))"",""[i][color=#34343A]$0[/color][/i]""), ""&lt;"", ""[""), ""&gt;"", ""]""), ""[/p][p]"", ""[font_size=15]\n\n[/font_size]""), ""[br/]"", ""\n"")"),"Search your deck for a card, put it into your hand, then shuffle your deck and discard a card at random.")</f>
        <v xml:space="preserve">Search your deck for a card, put it into your hand, then shuffle your deck and discard a card at random.</v>
      </c>
      <c r="W121" s="4" t="str">
        <f t="shared" si="5"/>
        <v>[i]Effect[/i]</v>
      </c>
      <c r="X121" s="4" t="str">
        <f t="shared" si="6"/>
        <v>RT_YR_002</v>
      </c>
    </row>
    <row r="122" outlineLevel="1">
      <c r="A122" s="1" t="s">
        <v>490</v>
      </c>
      <c r="B122" s="1" t="s">
        <v>491</v>
      </c>
      <c r="C122" s="2" t="s">
        <v>492</v>
      </c>
      <c r="D122" s="6" t="str">
        <f>IFERROR(__xludf.DUMMYFUNCTION("IF(EQ(A122,B122),"""",SWITCH(IF(T122="""",0,COUNTA(SPLIT(T122,"" ""))),0,""Generic"",1,TRIM(T122),2,""Multicolor"",3,""Multicolor"",4,""Multicolor"",5,""Multicolor"",6,""Multicolor"",7,""Multicolor"",8,""Multicolor""))"),"Yellow")</f>
        <v>Yellow</v>
      </c>
      <c r="E122" s="1"/>
      <c r="F122" s="1" t="s">
        <v>87</v>
      </c>
      <c r="H122" s="2" t="s">
        <v>96</v>
      </c>
      <c r="I122" s="3" t="s">
        <v>493</v>
      </c>
      <c r="J122" s="3" t="s">
        <v>494</v>
      </c>
      <c r="O122" s="3"/>
      <c r="Q122" s="1">
        <v>50</v>
      </c>
      <c r="R122" s="1">
        <v>50</v>
      </c>
      <c r="S122" s="4" t="str">
        <f t="shared" si="4"/>
        <v>False</v>
      </c>
      <c r="T122" s="4" t="str">
        <f>IFERROR(__xludf.DUMMYFUNCTION("CONCATENATE(if(REGEXMATCH(C122,""R""),"" Red"",""""),if(REGEXMATCH(C122,""O""),"" Orange"",""""),if(REGEXMATCH(C122,""Y""),"" Yellow"",""""),if(REGEXMATCH(C122,""G""),"" Green"",""""),if(REGEXMATCH(C122,""B""),"" Blue"",""""),if(REGEXMATCH(C122,""P""),"" "&amp;"Purple"",""""))")," Yellow")</f>
        <v>Yellow</v>
      </c>
      <c r="U122" s="4" t="str">
        <f>IFERROR(__xludf.DUMMYFUNCTION("TRIM(CONCAT(""[right]"", REGEXREPLACE(C122, ""([ROYGBPXZC_]|1?[0-9])"", ""[img=119]res://textures/icons/$0.png[/img]\\n"")))"),"[right][img=119]res://textures/icons/X.png[/img]\n[img=119]res://textures/icons/X.png[/img]\n[img=119]res://textures/icons/Y.png[/img]\n[img=119]res://textures/icons/Y.png[/img]\n")</f>
        <v>[right][img=119]res://textures/icons/X.png[/img]\n[img=119]res://textures/icons/X.png[/img]\n[img=119]res://textures/icons/Y.png[/img]\n[img=119]res://textures/icons/Y.png[/img]\n</v>
      </c>
      <c r="V122" s="4" t="str">
        <f>IFERROR(__xludf.DUMMYFUNCTION("SUBSTITUTE(SUBSTITUTE(SUBSTITUTE(SUBSTITUTE(REGEXREPLACE(SUBSTITUTE(SUBSTITUTE(SUBSTITUTE(SUBSTITUTE(REGEXREPLACE(I122, ""(\[([ROYGBPTQUXZC_]|1?[0-9])\])"", ""[img=45]res://textures/icons/$2.png[/img]""),""--"",""—""),""-&gt;"",""•""),""~@"", CONCATENATE(""["&amp;"i]"",REGEXEXTRACT(B122,""^([\s\S]*),|$""),""[/i]"")),""~"", CONCATENATE(""[i]"",B122,""[/i]"")),""(\([\s\S]*?\))"",""[i][color=#34343A]$0[/color][/i]""), ""&lt;"", ""[""), ""&gt;"", ""]""), ""[/p][p]"", ""[font_size=15]\n\n[/font_size]""), ""[br/]"", ""\n"")"),"[center][i][color=#34343A](This effect can only be deployed if you control a renowned asset. Banked energy can't be spent to deploy renowned cards.)[/color][/i][/center][p]Choose [img=45]res://textures/icons/X.png[/img] permanents at random to be [u]forfe"&amp;"ited[/u] [i][color=#34343A](Put the specified assets into their owners' discards.)[/color][/i] by their owners.[/p]")</f>
        <v xml:space="preserve">[center][i][color=#34343A](This effect can only be deployed if you control a renowned asset. Banked energy can't be spent to deploy renowned cards.)[/color][/i][/center][p]Choose [img=45]res://textures/icons/X.png[/img] permanents at random to be [u]forfeited[/u] [i][color=#34343A](Put the specified assets into their owners' discards.)[/color][/i] by their owners.[/p]</v>
      </c>
      <c r="W122" s="4" t="str">
        <f t="shared" si="5"/>
        <v xml:space="preserve">[i]R. Effect[/i]</v>
      </c>
      <c r="X122" s="4" t="str">
        <f t="shared" si="6"/>
        <v>RT_YR_003</v>
      </c>
    </row>
    <row r="123" outlineLevel="1">
      <c r="A123" s="1" t="s">
        <v>495</v>
      </c>
      <c r="B123" s="1" t="s">
        <v>496</v>
      </c>
      <c r="C123" s="2" t="s">
        <v>497</v>
      </c>
      <c r="D123" s="6" t="s">
        <v>498</v>
      </c>
      <c r="E123" s="1"/>
      <c r="F123" s="1" t="s">
        <v>33</v>
      </c>
      <c r="H123" s="2" t="s">
        <v>81</v>
      </c>
      <c r="I123" s="3" t="s">
        <v>499</v>
      </c>
      <c r="J123" s="3"/>
      <c r="O123" s="3"/>
      <c r="Q123" s="1">
        <v>60</v>
      </c>
      <c r="R123" s="1">
        <v>50</v>
      </c>
      <c r="S123" s="4" t="str">
        <f t="shared" si="4"/>
        <v>False</v>
      </c>
      <c r="T123" s="4" t="s">
        <v>498</v>
      </c>
      <c r="U123" s="4" t="str">
        <f>IFERROR(__xludf.DUMMYFUNCTION("TRIM(CONCAT(""[right]"", REGEXREPLACE(C123, ""([ROYGBPXZC_]|1?[0-9])"", ""[img=119]res://textures/icons/$0.png[/img]\\n"")))"),"[right][img=119]res://textures/icons/_.png[/img]\n")</f>
        <v>[right][img=119]res://textures/icons/_.png[/img]\n</v>
      </c>
      <c r="V123" s="4" t="str">
        <f>IFERROR(__xludf.DUMMYFUNCTION("SUBSTITUTE(SUBSTITUTE(SUBSTITUTE(SUBSTITUTE(REGEXREPLACE(SUBSTITUTE(SUBSTITUTE(SUBSTITUTE(SUBSTITUTE(REGEXREPLACE(I123, ""(\[([ROYGBPTQUXZC_]|1?[0-9])\])"", ""[img=45]res://textures/icons/$2.png[/img]""),""--"",""—""),""-&gt;"",""•""),""~@"", CONCATENATE(""["&amp;"i]"",REGEXEXTRACT(B123,""^([\s\S]*),|$""),""[/i]"")),""~"", CONCATENATE(""[i]"",B123,""[/i]"")),""(\([\s\S]*?\))"",""[i][color=#34343A]$0[/color][/i]""), ""&lt;"", ""[""), ""&gt;"", ""]""), ""[/p][p]"", ""[font_size=15]\n\n[/font_size]""), ""[br/]"", ""\n"")"),"[center][i][color=#34343A]([img=45]res://textures/icons/_.png[/img] must be paid with all of the energy you can currently access.)[/color][/i][/center][p]Choose an opponent, you and that opponent each reveal the top card of your decks, then if your card h"&amp;"as a higher [u]generalized cost[/u] add double the energy spent to deploy [i]Double or Nothing[/i] to your pool.[font_size=15]\n\n[/font_size]You and that opponent each draw a card.[/p]")</f>
        <v xml:space="preserve">[center][i][color=#34343A]([img=45]res://textures/icons/_.png[/img] must be paid with all of the energy you can currently access.)[/color][/i][/center][p]Choose an opponent, you and that opponent each reveal the top card of your decks, then if your card has a higher [u]generalized cost[/u] add double the energy spent to deploy [i]Double or Nothing[/i] to your pool.[font_size=15]\n\n[/font_size]You and that opponent each draw a card.[/p]</v>
      </c>
      <c r="W123" s="4" t="str">
        <f t="shared" si="5"/>
        <v>[i]Effect[/i]</v>
      </c>
      <c r="X123" s="4" t="str">
        <f t="shared" si="6"/>
        <v>RT_YR_004</v>
      </c>
    </row>
    <row r="124" outlineLevel="1">
      <c r="A124" s="1" t="s">
        <v>500</v>
      </c>
      <c r="B124" s="1" t="s">
        <v>501</v>
      </c>
      <c r="C124" s="2" t="s">
        <v>483</v>
      </c>
      <c r="D124" s="6" t="str">
        <f>IFERROR(__xludf.DUMMYFUNCTION("IF(EQ(A124,B124),"""",SWITCH(IF(T124="""",0,COUNTA(SPLIT(T124,"" ""))),0,""Generic"",1,TRIM(T124),2,""Multicolor"",3,""Multicolor"",4,""Multicolor"",5,""Multicolor"",6,""Multicolor"",7,""Multicolor"",8,""Multicolor""))"),"Yellow")</f>
        <v>Yellow</v>
      </c>
      <c r="E124" s="1" t="s">
        <v>51</v>
      </c>
      <c r="F124" s="1" t="s">
        <v>94</v>
      </c>
      <c r="G124" s="1" t="s">
        <v>502</v>
      </c>
      <c r="H124" s="2" t="s">
        <v>119</v>
      </c>
      <c r="I124" s="3" t="s">
        <v>503</v>
      </c>
      <c r="J124" s="3" t="s">
        <v>504</v>
      </c>
      <c r="K124" s="1">
        <v>5</v>
      </c>
      <c r="L124" s="1">
        <v>5</v>
      </c>
      <c r="O124" s="3"/>
      <c r="Q124" s="1">
        <v>45</v>
      </c>
      <c r="R124" s="1">
        <v>35</v>
      </c>
      <c r="S124" s="4" t="str">
        <f t="shared" si="4"/>
        <v>True</v>
      </c>
      <c r="T124" s="4" t="str">
        <f>IFERROR(__xludf.DUMMYFUNCTION("CONCATENATE(if(REGEXMATCH(C124,""R""),"" Red"",""""),if(REGEXMATCH(C124,""O""),"" Orange"",""""),if(REGEXMATCH(C124,""Y""),"" Yellow"",""""),if(REGEXMATCH(C124,""G""),"" Green"",""""),if(REGEXMATCH(C124,""B""),"" Blue"",""""),if(REGEXMATCH(C124,""P""),"" "&amp;"Purple"",""""))")," Yellow")</f>
        <v>Yellow</v>
      </c>
      <c r="U124" s="4" t="str">
        <f>IFERROR(__xludf.DUMMYFUNCTION("TRIM(CONCAT(""[right]"", REGEXREPLACE(C124, ""([ROYGBPXZC_]|1?[0-9])"", ""[img=119]res://textures/icons/$0.png[/img]\\n"")))"),"[right][img=119]res://textures/icons/1.png[/img]\n[img=119]res://textures/icons/Y.png[/img]\n")</f>
        <v>[right][img=119]res://textures/icons/1.png[/img]\n[img=119]res://textures/icons/Y.png[/img]\n</v>
      </c>
      <c r="V124" s="4" t="str">
        <f>IFERROR(__xludf.DUMMYFUNCTION("SUBSTITUTE(SUBSTITUTE(SUBSTITUTE(SUBSTITUTE(REGEXREPLACE(SUBSTITUTE(SUBSTITUTE(SUBSTITUTE(SUBSTITUTE(REGEXREPLACE(I124, ""(\[([ROYGBPTQUXZC_]|1?[0-9])\])"", ""[img=45]res://textures/icons/$2.png[/img]""),""--"",""—""),""-&gt;"",""•""),""~@"", CONCATENATE(""["&amp;"i]"",REGEXEXTRACT(B124,""^([\s\S]*),|$""),""[/i]"")),""~"", CONCATENATE(""[i]"",B124,""[/i]"")),""(\([\s\S]*?\))"",""[i][color=#34343A]$0[/color][/i]""), ""&lt;"", ""[""), ""&gt;"", ""]""), ""[/p][p]"", ""[font_size=15]\n\n[/font_size]""), ""[br/]"", ""\n"")"),"[center][i][color=#34343A](If you obtain another card with the same name as [i]Lexi Xenos, Spacecorp Recruit[/i], you must choose one to keep and another to send to its owner's discard. Banked energy can't be spent to deploy renowned cards. Becomes [i]'Le"&amp;"xi's Last Day'[/i] if you already control [i]Lexi Xenos, Spacecorp Recruit[/i].)[/color][/i][/center][p]When [i]Lexi Xenos[/i] leaves the battlefield, you may search your deck for up to 4 cards, remove them from the game.[/p]")</f>
        <v xml:space="preserve">[center][i][color=#34343A](If you obtain another card with the same name as [i]Lexi Xenos, Spacecorp Recruit[/i], you must choose one to keep and another to send to its owner's discard. Banked energy can't be spent to deploy renowned cards. Becomes [i]'Lexi's Last Day'[/i] if you already control [i]Lexi Xenos, Spacecorp Recruit[/i].)[/color][/i][/center][p]When [i]Lexi Xenos[/i] leaves the battlefield, you may search your deck for up to 4 cards, remove them from the game.[/p]</v>
      </c>
      <c r="W124" s="4" t="str">
        <f t="shared" si="5"/>
        <v xml:space="preserve">[i]R. Asset[/i]</v>
      </c>
      <c r="X124" s="4" t="str">
        <f t="shared" si="6"/>
        <v>RT_YU_001</v>
      </c>
    </row>
    <row r="125" outlineLevel="1">
      <c r="A125" s="1" t="s">
        <v>505</v>
      </c>
      <c r="B125" s="4" t="s">
        <v>506</v>
      </c>
      <c r="C125" s="5" t="s">
        <v>507</v>
      </c>
      <c r="D125" s="6" t="str">
        <f>IFERROR(__xludf.DUMMYFUNCTION("IF(EQ(A125,B125),"""",SWITCH(IF(T125="""",0,COUNTA(SPLIT(T125,"" ""))),0,""Generic"",1,TRIM(T125),2,""Multicolor"",3,""Multicolor"",4,""Multicolor"",5,""Multicolor"",6,""Multicolor"",7,""Multicolor"",8,""Multicolor""))"),"Yellow")</f>
        <v>Yellow</v>
      </c>
      <c r="E125" s="4"/>
      <c r="F125" s="4" t="s">
        <v>87</v>
      </c>
      <c r="G125" s="4" t="s">
        <v>88</v>
      </c>
      <c r="H125" s="5" t="s">
        <v>25</v>
      </c>
      <c r="I125" s="7" t="s">
        <v>508</v>
      </c>
      <c r="J125" s="7" t="s">
        <v>509</v>
      </c>
      <c r="O125" s="3"/>
      <c r="Q125" s="1">
        <v>60</v>
      </c>
      <c r="R125" s="1">
        <v>50</v>
      </c>
      <c r="S125" s="4" t="str">
        <f t="shared" si="4"/>
        <v>False</v>
      </c>
      <c r="T125" s="4" t="str">
        <f>IFERROR(__xludf.DUMMYFUNCTION("CONCATENATE(if(REGEXMATCH(C125,""R""),"" Red"",""""),if(REGEXMATCH(C125,""O""),"" Orange"",""""),if(REGEXMATCH(C125,""Y""),"" Yellow"",""""),if(REGEXMATCH(C125,""G""),"" Green"",""""),if(REGEXMATCH(C125,""B""),"" Blue"",""""),if(REGEXMATCH(C125,""P""),"" "&amp;"Purple"",""""))")," Yellow")</f>
        <v>Yellow</v>
      </c>
      <c r="U125" s="4" t="str">
        <f>IFERROR(__xludf.DUMMYFUNCTION("TRIM(CONCAT(""[right]"", REGEXREPLACE(C125, ""([ROYGBPXZC_]|1?[0-9])"", ""[img=119]res://textures/icons/$0.png[/img]\\n"")))"),"[right][img=119]res://textures/icons/Y.png[/img]\n")</f>
        <v>[right][img=119]res://textures/icons/Y.png[/img]\n</v>
      </c>
      <c r="V125" s="4" t="str">
        <f>IFERROR(__xludf.DUMMYFUNCTION("SUBSTITUTE(SUBSTITUTE(SUBSTITUTE(SUBSTITUTE(REGEXREPLACE(SUBSTITUTE(SUBSTITUTE(SUBSTITUTE(SUBSTITUTE(REGEXREPLACE(I125, ""(\[([ROYGBPTQUXZC_]|1?[0-9])\])"", ""[img=45]res://textures/icons/$2.png[/img]""),""--"",""—""),""-&gt;"",""•""),""~@"", CONCATENATE(""["&amp;"i]"",REGEXEXTRACT(B125,""^([\s\S]*),|$""),""[/i]"")),""~"", CONCATENATE(""[i]"",B125,""[/i]"")),""(\([\s\S]*?\))"",""[i][color=#34343A]$0[/color][/i]""), ""&lt;"", ""[""), ""&gt;"", ""]""), ""[/p][p]"", ""[font_size=15]\n\n[/font_size]""), ""[br/]"", ""\n"")"),"[center][i][color=#34343A](This effect can only be deployed if you control a renowned asset. Banked energy can't be spent to deploy renowned cards.)[/color][/i][/center][p]Choose a combatant you control to deal [u]X[/u] [i][color=#34343A](X is its attack "&amp;"power)[/color][/i] damage to itself and another combatant of your choice.[font_size=15]\n\n[/font_size][u]Personal[/u] [i][color=#34343A](Shuffle [i]'Lexi Xenos, Spacecorp Recruit'[/i] into your deck.)[/color][/i][/p]")</f>
        <v xml:space="preserve">[center][i][color=#34343A](This effect can only be deployed if you control a renowned asset. Banked energy can't be spent to deploy renowned cards.)[/color][/i][/center][p]Choose a combatant you control to deal [u]X[/u] [i][color=#34343A](X is its attack power)[/color][/i] damage to itself and another combatant of your choice.[font_size=15]\n\n[/font_size][u]Personal[/u] [i][color=#34343A](Shuffle [i]'Lexi Xenos, Spacecorp Recruit'[/i] into your deck.)[/color][/i][/p]</v>
      </c>
      <c r="W125" s="4" t="str">
        <f t="shared" si="5"/>
        <v xml:space="preserve">[i]R. Effect[/i]</v>
      </c>
      <c r="X125" s="4" t="str">
        <f t="shared" si="6"/>
        <v>RT_YU_001b</v>
      </c>
    </row>
    <row r="126" outlineLevel="1">
      <c r="A126" s="1" t="s">
        <v>510</v>
      </c>
      <c r="B126" s="4" t="s">
        <v>511</v>
      </c>
      <c r="C126" s="5" t="s">
        <v>512</v>
      </c>
      <c r="D126" s="6" t="str">
        <f>IFERROR(__xludf.DUMMYFUNCTION("IF(EQ(A126,B126),"""",SWITCH(IF(T126="""",0,COUNTA(SPLIT(T126,"" ""))),0,""Generic"",1,TRIM(T126),2,""Multicolor"",3,""Multicolor"",4,""Multicolor"",5,""Multicolor"",6,""Multicolor"",7,""Multicolor"",8,""Multicolor""))"),"Yellow")</f>
        <v>Yellow</v>
      </c>
      <c r="E126" s="4"/>
      <c r="F126" s="4" t="s">
        <v>87</v>
      </c>
      <c r="G126" s="4"/>
      <c r="H126" s="5" t="s">
        <v>513</v>
      </c>
      <c r="I126" s="7" t="s">
        <v>514</v>
      </c>
      <c r="J126" s="7" t="s">
        <v>515</v>
      </c>
      <c r="O126" s="3"/>
      <c r="Q126" s="1">
        <v>45</v>
      </c>
      <c r="R126" s="1">
        <v>50</v>
      </c>
      <c r="S126" s="4" t="str">
        <f t="shared" si="4"/>
        <v>False</v>
      </c>
      <c r="T126" s="4" t="str">
        <f>IFERROR(__xludf.DUMMYFUNCTION("CONCATENATE(if(REGEXMATCH(C126,""R""),"" Red"",""""),if(REGEXMATCH(C126,""O""),"" Orange"",""""),if(REGEXMATCH(C126,""Y""),"" Yellow"",""""),if(REGEXMATCH(C126,""G""),"" Green"",""""),if(REGEXMATCH(C126,""B""),"" Blue"",""""),if(REGEXMATCH(C126,""P""),"" "&amp;"Purple"",""""))")," Yellow")</f>
        <v>Yellow</v>
      </c>
      <c r="U126" s="4" t="str">
        <f>IFERROR(__xludf.DUMMYFUNCTION("TRIM(CONCAT(""[right]"", REGEXREPLACE(C126, ""([ROYGBPXZC_]|1?[0-9])"", ""[img=119]res://textures/icons/$0.png[/img]\\n"")))"),"[right][img=119]res://textures/icons/2.png[/img]\n[img=119]res://textures/icons/Y.png[/img]\n[img=119]res://textures/icons/Y.png[/img]\n")</f>
        <v>[right][img=119]res://textures/icons/2.png[/img]\n[img=119]res://textures/icons/Y.png[/img]\n[img=119]res://textures/icons/Y.png[/img]\n</v>
      </c>
      <c r="V126" s="4" t="str">
        <f>IFERROR(__xludf.DUMMYFUNCTION("SUBSTITUTE(SUBSTITUTE(SUBSTITUTE(SUBSTITUTE(REGEXREPLACE(SUBSTITUTE(SUBSTITUTE(SUBSTITUTE(SUBSTITUTE(REGEXREPLACE(I126, ""(\[([ROYGBPTQUXZC_]|1?[0-9])\])"", ""[img=45]res://textures/icons/$2.png[/img]""),""--"",""—""),""-&gt;"",""•""),""~@"", CONCATENATE(""["&amp;"i]"",REGEXEXTRACT(B126,""^([\s\S]*),|$""),""[/i]"")),""~"", CONCATENATE(""[i]"",B126,""[/i]"")),""(\([\s\S]*?\))"",""[i][color=#34343A]$0[/color][/i]""), ""&lt;"", ""[""), ""&gt;"", ""]""), ""[/p][p]"", ""[font_size=15]\n\n[/font_size]""), ""[br/]"", ""\n"")"),"[center][i][color=#34343A](This effect can only be deployed if you control a renowned asset. Banked energy can't be spent to deploy renowned cards.)[/color][/i]\n[u]Retribution[/u] [i][color=#34343A](When you draw [i]Take Fate in Your Own Hands[/i] as a r"&amp;"esult of taking damage, you may deploy it without paying its cost.)[/color][/i][/center][p]Until end of turn, you choose the results of random chance.[/p]")</f>
        <v xml:space="preserve">[center][i][color=#34343A](This effect can only be deployed if you control a renowned asset. Banked energy can't be spent to deploy renowned cards.)[/color][/i]\n[u]Retribution[/u] [i][color=#34343A](When you draw [i]Take Fate in Your Own Hands[/i] as a result of taking damage, you may deploy it without paying its cost.)[/color][/i][/center][p]Until end of turn, you choose the results of random chance.[/p]</v>
      </c>
      <c r="W126" s="4" t="str">
        <f t="shared" si="5"/>
        <v xml:space="preserve">[i]R. Effect[/i]</v>
      </c>
      <c r="X126" s="4" t="str">
        <f t="shared" si="6"/>
        <v>RT_YU_002</v>
      </c>
    </row>
    <row r="127" outlineLevel="1">
      <c r="A127" s="1" t="s">
        <v>516</v>
      </c>
      <c r="B127" s="4" t="s">
        <v>517</v>
      </c>
      <c r="C127" s="5" t="s">
        <v>518</v>
      </c>
      <c r="D127" s="6" t="str">
        <f>IFERROR(__xludf.DUMMYFUNCTION("IF(ISBLANK(A127),"""",SWITCH(IF(T127="""",0,COUNTA(SPLIT(T127,"" ""))),0,""Generic"",1,TRIM(T127),2,""Multicolor"",3,""Multicolor"",4,""Multicolor"",5,""Multicolor"",6,""Multicolor"",7,""Multicolor"",8,""Multicolor""))"),"Yellow")</f>
        <v>Yellow</v>
      </c>
      <c r="E127" s="4"/>
      <c r="F127" s="4" t="s">
        <v>33</v>
      </c>
      <c r="G127" s="4" t="s">
        <v>118</v>
      </c>
      <c r="H127" s="5" t="s">
        <v>129</v>
      </c>
      <c r="I127" s="7" t="s">
        <v>519</v>
      </c>
      <c r="J127" s="7" t="s">
        <v>520</v>
      </c>
      <c r="O127" s="3"/>
      <c r="Q127" s="1">
        <v>60</v>
      </c>
      <c r="R127" s="1">
        <v>50</v>
      </c>
      <c r="S127" s="4" t="str">
        <f t="shared" si="4"/>
        <v>False</v>
      </c>
      <c r="T127" s="4" t="str">
        <f>IFERROR(__xludf.DUMMYFUNCTION("CONCATENATE(if(REGEXMATCH(C127,""R""),"" Red"",""""),if(REGEXMATCH(C127,""O""),"" Orange"",""""),if(REGEXMATCH(C127,""Y""),"" Yellow"",""""),if(REGEXMATCH(C127,""G""),"" Green"",""""),if(REGEXMATCH(C127,""B""),"" Blue"",""""),if(REGEXMATCH(C127,""P""),"" "&amp;"Purple"",""""))")," Yellow")</f>
        <v>Yellow</v>
      </c>
      <c r="U127" s="4" t="str">
        <f>IFERROR(__xludf.DUMMYFUNCTION("TRIM(CONCAT(""[right]"", REGEXREPLACE(C127, ""([ROYGBPXZC_]|1?[0-9])"", ""[img=119]res://textures/icons/$0.png[/img]\\n"")))"),"[right][img=119]res://textures/icons/3.png[/img]\n[img=119]res://textures/icons/Y.png[/img]\n")</f>
        <v>[right][img=119]res://textures/icons/3.png[/img]\n[img=119]res://textures/icons/Y.png[/img]\n</v>
      </c>
      <c r="V127" s="4" t="str">
        <f>IFERROR(__xludf.DUMMYFUNCTION("SUBSTITUTE(SUBSTITUTE(SUBSTITUTE(SUBSTITUTE(REGEXREPLACE(SUBSTITUTE(SUBSTITUTE(SUBSTITUTE(SUBSTITUTE(REGEXREPLACE(I127, ""(\[([ROYGBPTQUXZC_]|1?[0-9])\])"", ""[img=45]res://textures/icons/$2.png[/img]""),""--"",""—""),""-&gt;"",""•""),""~@"", CONCATENATE(""["&amp;"i]"",REGEXEXTRACT(B127,""^([\s\S]*),|$""),""[/i]"")),""~"", CONCATENATE(""[i]"",B127,""[/i]"")),""(\([\s\S]*?\))"",""[i][color=#34343A]$0[/color][/i]""), ""&lt;"", ""[""), ""&gt;"", ""]""), ""[/p][p]"", ""[font_size=15]\n\n[/font_size]""), ""[br/]"", ""\n"")"),"Choose a card on the stack, until end of turn, gain control of it. It permanently gains [u]airdrop[/u] [i][color=#34343A](It enters the battlefield as soon as it resolves.)[/color][/i]")</f>
        <v xml:space="preserve">Choose a card on the stack, until end of turn, gain control of it. It permanently gains [u]airdrop[/u] [i][color=#34343A](It enters the battlefield as soon as it resolves.)[/color][/i]</v>
      </c>
      <c r="W127" s="4" t="str">
        <f t="shared" si="5"/>
        <v>[i]Effect[/i]</v>
      </c>
      <c r="X127" s="4" t="str">
        <f t="shared" si="6"/>
        <v>RT_YU_003</v>
      </c>
    </row>
    <row r="128" outlineLevel="1">
      <c r="A128" s="1" t="s">
        <v>521</v>
      </c>
      <c r="B128" s="4" t="s">
        <v>522</v>
      </c>
      <c r="C128" s="5" t="s">
        <v>518</v>
      </c>
      <c r="D128" s="6" t="str">
        <f>IFERROR(__xludf.DUMMYFUNCTION("IF(ISBLANK(A128),"""",SWITCH(IF(T128="""",0,COUNTA(SPLIT(T128,"" ""))),0,""Generic"",1,TRIM(T128),2,""Multicolor"",3,""Multicolor"",4,""Multicolor"",5,""Multicolor"",6,""Multicolor"",7,""Multicolor"",8,""Multicolor""))"),"Yellow")</f>
        <v>Yellow</v>
      </c>
      <c r="E128" s="4" t="s">
        <v>51</v>
      </c>
      <c r="F128" s="4" t="s">
        <v>26</v>
      </c>
      <c r="G128" s="4" t="s">
        <v>523</v>
      </c>
      <c r="H128" s="5" t="s">
        <v>129</v>
      </c>
      <c r="I128" s="7" t="s">
        <v>524</v>
      </c>
      <c r="J128" s="7" t="s">
        <v>525</v>
      </c>
      <c r="K128" s="1">
        <v>4</v>
      </c>
      <c r="L128" s="1">
        <v>5</v>
      </c>
      <c r="M128" s="1"/>
      <c r="O128" s="3"/>
      <c r="Q128" s="1">
        <v>60</v>
      </c>
      <c r="R128" s="1">
        <v>35</v>
      </c>
      <c r="S128" s="4" t="str">
        <f t="shared" si="4"/>
        <v>True</v>
      </c>
      <c r="T128" s="4" t="str">
        <f>IFERROR(__xludf.DUMMYFUNCTION("CONCATENATE(if(REGEXMATCH(C128,""R""),"" Red"",""""),if(REGEXMATCH(C128,""O""),"" Orange"",""""),if(REGEXMATCH(C128,""Y""),"" Yellow"",""""),if(REGEXMATCH(C128,""G""),"" Green"",""""),if(REGEXMATCH(C128,""B""),"" Blue"",""""),if(REGEXMATCH(C128,""P""),"" "&amp;"Purple"",""""))")," Yellow")</f>
        <v>Yellow</v>
      </c>
      <c r="U128" s="4" t="str">
        <f>IFERROR(__xludf.DUMMYFUNCTION("TRIM(CONCAT(""[right]"", REGEXREPLACE(C128, ""([ROYGBPXZC_]|1?[0-9])"", ""[img=119]res://textures/icons/$0.png[/img]\\n"")))"),"[right][img=119]res://textures/icons/3.png[/img]\n[img=119]res://textures/icons/Y.png[/img]\n")</f>
        <v>[right][img=119]res://textures/icons/3.png[/img]\n[img=119]res://textures/icons/Y.png[/img]\n</v>
      </c>
      <c r="V128" s="4" t="str">
        <f>IFERROR(__xludf.DUMMYFUNCTION("SUBSTITUTE(SUBSTITUTE(SUBSTITUTE(SUBSTITUTE(REGEXREPLACE(SUBSTITUTE(SUBSTITUTE(SUBSTITUTE(SUBSTITUTE(REGEXREPLACE(I128, ""(\[([ROYGBPTQUXZC_]|1?[0-9])\])"", ""[img=45]res://textures/icons/$2.png[/img]""),""--"",""—""),""-&gt;"",""•""),""~@"", CONCATENATE(""["&amp;"i]"",REGEXEXTRACT(B128,""^([\s\S]*),|$""),""[/i]"")),""~"", CONCATENATE(""[i]"",B128,""[/i]"")),""(\([\s\S]*?\))"",""[i][color=#34343A]$0[/color][/i]""), ""&lt;"", ""[""), ""&gt;"", ""]""), ""[/p][p]"", ""[font_size=15]\n\n[/font_size]""), ""[br/]"", ""\n"")"),"[center][u]Spacecraft[/u] [i][color=#34343A]([i]SpaceCorp Miner[/i] can only intercept or be intercepted by assets with spacecraft.)[/color][/i][/center][p][img=45]res://textures/icons/2.png[/img][img=45]res://textures/icons/Y.png[/img][img=45]res://textu"&amp;"res/icons/Y.png[/img], 50% chance of discarding a card at random: Until end of turn, assets you control get +2/+0.[/p]")</f>
        <v xml:space="preserve">[center][u]Spacecraft[/u] [i][color=#34343A]([i]SpaceCorp Miner[/i] can only intercept or be intercepted by assets with spacecraft.)[/color][/i][/center][p][img=45]res://textures/icons/2.png[/img][img=45]res://textures/icons/Y.png[/img][img=45]res://textures/icons/Y.png[/img], 50% chance of discarding a card at random: Until end of turn, assets you control get +2/+0.[/p]</v>
      </c>
      <c r="W128" s="4" t="str">
        <f t="shared" si="5"/>
        <v>[i]Asset[/i]</v>
      </c>
      <c r="X128" s="4" t="str">
        <f t="shared" si="6"/>
        <v>RT_YU_004</v>
      </c>
    </row>
    <row r="129" outlineLevel="1">
      <c r="A129" s="1" t="s">
        <v>526</v>
      </c>
      <c r="B129" s="4" t="s">
        <v>527</v>
      </c>
      <c r="C129" s="5" t="s">
        <v>518</v>
      </c>
      <c r="D129" s="6" t="str">
        <f>IFERROR(__xludf.DUMMYFUNCTION("IF(ISBLANK(A129),"""",SWITCH(IF(T129="""",0,COUNTA(SPLIT(T129,"" ""))),0,""Generic"",1,TRIM(T129),2,""Multicolor"",3,""Multicolor"",4,""Multicolor"",5,""Multicolor"",6,""Multicolor"",7,""Multicolor"",8,""Multicolor""))"),"Yellow")</f>
        <v>Yellow</v>
      </c>
      <c r="E129" s="4"/>
      <c r="F129" s="4" t="s">
        <v>33</v>
      </c>
      <c r="G129" s="4" t="s">
        <v>118</v>
      </c>
      <c r="H129" s="5" t="s">
        <v>129</v>
      </c>
      <c r="I129" s="7" t="s">
        <v>528</v>
      </c>
      <c r="J129" s="3"/>
      <c r="O129" s="3"/>
      <c r="Q129" s="1">
        <v>45</v>
      </c>
      <c r="R129" s="1">
        <v>50</v>
      </c>
      <c r="S129" s="4" t="str">
        <f t="shared" si="4"/>
        <v>False</v>
      </c>
      <c r="T129" s="4" t="str">
        <f>IFERROR(__xludf.DUMMYFUNCTION("CONCATENATE(if(REGEXMATCH(C129,""R""),"" Red"",""""),if(REGEXMATCH(C129,""O""),"" Orange"",""""),if(REGEXMATCH(C129,""Y""),"" Yellow"",""""),if(REGEXMATCH(C129,""G""),"" Green"",""""),if(REGEXMATCH(C129,""B""),"" Blue"",""""),if(REGEXMATCH(C129,""P""),"" "&amp;"Purple"",""""))")," Yellow")</f>
        <v>Yellow</v>
      </c>
      <c r="U129" s="4" t="str">
        <f>IFERROR(__xludf.DUMMYFUNCTION("TRIM(CONCAT(""[right]"", REGEXREPLACE(C129, ""([ROYGBPXZC_]|1?[0-9])"", ""[img=119]res://textures/icons/$0.png[/img]\\n"")))"),"[right][img=119]res://textures/icons/3.png[/img]\n[img=119]res://textures/icons/Y.png[/img]\n")</f>
        <v>[right][img=119]res://textures/icons/3.png[/img]\n[img=119]res://textures/icons/Y.png[/img]\n</v>
      </c>
      <c r="V129" s="4" t="str">
        <f>IFERROR(__xludf.DUMMYFUNCTION("SUBSTITUTE(SUBSTITUTE(SUBSTITUTE(SUBSTITUTE(REGEXREPLACE(SUBSTITUTE(SUBSTITUTE(SUBSTITUTE(SUBSTITUTE(REGEXREPLACE(I129, ""(\[([ROYGBPTQUXZC_]|1?[0-9])\])"", ""[img=45]res://textures/icons/$2.png[/img]""),""--"",""—""),""-&gt;"",""•""),""~@"", CONCATENATE(""["&amp;"i]"",REGEXEXTRACT(B129,""^([\s\S]*),|$""),""[/i]"")),""~"", CONCATENATE(""[i]"",B129,""[/i]"")),""(\([\s\S]*?\))"",""[i][color=#34343A]$0[/color][/i]""), ""&lt;"", ""[""), ""&gt;"", ""]""), ""[/p][p]"", ""[font_size=15]\n\n[/font_size]""), ""[br/]"", ""\n"")"),"[p]Choose a generator, its owner [u]forfeits[/u] [i][color=#34343A](Put the specified card into its owner's discard.)[/color][/i] it.[font_size=15]\n\n[/font_size]There is a 50% chance you [u]forfeit[/u] [i][color=#34343A](Put the specified card into its "&amp;"owner's discard.)[/color][/i] a random generator you control.[/p]")</f>
        <v xml:space="preserve">[p]Choose a generator, its owner [u]forfeits[/u] [i][color=#34343A](Put the specified card into its owner's discard.)[/color][/i] it.[font_size=15]\n\n[/font_size]There is a 50% chance you [u]forfeit[/u] [i][color=#34343A](Put the specified card into its owner's discard.)[/color][/i] a random generator you control.[/p]</v>
      </c>
      <c r="W129" s="4" t="str">
        <f t="shared" si="5"/>
        <v>[i]Effect[/i]</v>
      </c>
      <c r="X129" s="4" t="str">
        <f t="shared" si="6"/>
        <v>RT_YU_005</v>
      </c>
    </row>
    <row r="130" outlineLevel="1">
      <c r="A130" s="1" t="s">
        <v>529</v>
      </c>
      <c r="B130" s="4" t="s">
        <v>530</v>
      </c>
      <c r="C130" s="5" t="s">
        <v>531</v>
      </c>
      <c r="D130" s="6" t="str">
        <f>IFERROR(__xludf.DUMMYFUNCTION("IF(ISBLANK(A130),"""",SWITCH(IF(T130="""",0,COUNTA(SPLIT(T130,"" ""))),0,""Generic"",1,TRIM(T130),2,""Multicolor"",3,""Multicolor"",4,""Multicolor"",5,""Multicolor"",6,""Multicolor"",7,""Multicolor"",8,""Multicolor""))"),"Yellow")</f>
        <v>Yellow</v>
      </c>
      <c r="E130" s="4"/>
      <c r="F130" s="4" t="s">
        <v>33</v>
      </c>
      <c r="G130" s="4"/>
      <c r="H130" s="5" t="s">
        <v>129</v>
      </c>
      <c r="I130" s="7" t="s">
        <v>532</v>
      </c>
      <c r="J130" s="7" t="s">
        <v>533</v>
      </c>
      <c r="O130" s="3"/>
      <c r="Q130" s="1">
        <v>60</v>
      </c>
      <c r="R130" s="1">
        <v>50</v>
      </c>
      <c r="S130" s="4" t="str">
        <f t="shared" ref="S130:S193" si="8">IF(ISBLANK(A130),"",IF(EQ(LEN(TRIM(K130)),0),"False","True"))</f>
        <v>False</v>
      </c>
      <c r="T130" s="4" t="str">
        <f>IFERROR(__xludf.DUMMYFUNCTION("CONCATENATE(if(REGEXMATCH(C130,""R""),"" Red"",""""),if(REGEXMATCH(C130,""O""),"" Orange"",""""),if(REGEXMATCH(C130,""Y""),"" Yellow"",""""),if(REGEXMATCH(C130,""G""),"" Green"",""""),if(REGEXMATCH(C130,""B""),"" Blue"",""""),if(REGEXMATCH(C130,""P""),"" "&amp;"Purple"",""""))")," Yellow")</f>
        <v>Yellow</v>
      </c>
      <c r="U130" s="4" t="str">
        <f>IFERROR(__xludf.DUMMYFUNCTION("TRIM(CONCAT(""[right]"", REGEXREPLACE(C130, ""([ROYGBPXZC_]|1?[0-9])"", ""[img=119]res://textures/icons/$0.png[/img]\\n"")))"),"[right][img=119]res://textures/icons/2.png[/img]\n[img=119]res://textures/icons/Y.png[/img]\n")</f>
        <v>[right][img=119]res://textures/icons/2.png[/img]\n[img=119]res://textures/icons/Y.png[/img]\n</v>
      </c>
      <c r="V130" s="4" t="str">
        <f>IFERROR(__xludf.DUMMYFUNCTION("SUBSTITUTE(SUBSTITUTE(SUBSTITUTE(SUBSTITUTE(REGEXREPLACE(SUBSTITUTE(SUBSTITUTE(SUBSTITUTE(SUBSTITUTE(REGEXREPLACE(I130, ""(\[([ROYGBPTQUXZC_]|1?[0-9])\])"", ""[img=45]res://textures/icons/$2.png[/img]""),""--"",""—""),""-&gt;"",""•""),""~@"", CONCATENATE(""["&amp;"i]"",REGEXEXTRACT(B130,""^([\s\S]*),|$""),""[/i]"")),""~"", CONCATENATE(""[i]"",B130,""[/i]"")),""(\([\s\S]*?\))"",""[i][color=#34343A]$0[/color][/i]""), ""&lt;"", ""[""), ""&gt;"", ""]""), ""[/p][p]"", ""[font_size=15]\n\n[/font_size]""), ""[br/]"", ""\n"")"),"[p]All assets loose [u]unbreakable[/u] and [u]unkillable[/u] until end of turn.[font_size=15]\n\n[/font_size][u]Forfeit[/u] [i][color=#34343A](Put the specified card into its owner's discard.)[/color][/i] an asset you control: Choose an asset or player, ["&amp;"i]Crash Landing[/i] deals X [i][color=#34343A](X is the discarded asset's attack power.)[/color][/i] damage to it.[/p]")</f>
        <v xml:space="preserve">[p]All assets loose [u]unbreakable[/u] and [u]unkillable[/u] until end of turn.[font_size=15]\n\n[/font_size][u]Forfeit[/u] [i][color=#34343A](Put the specified card into its owner's discard.)[/color][/i] an asset you control: Choose an asset or player, [i]Crash Landing[/i] deals X [i][color=#34343A](X is the discarded asset's attack power.)[/color][/i] damage to it.[/p]</v>
      </c>
      <c r="W130" s="4" t="str">
        <f t="shared" ref="W130:W193" si="9">CONCATENATE("[i]",F130,"[/i]")</f>
        <v>[i]Effect[/i]</v>
      </c>
      <c r="X130" s="4" t="str">
        <f t="shared" ref="X130:X193" si="10">IF(EQ(A130,B130),"0",CONCATENATE("RT_",A130))</f>
        <v>RT_YU_006</v>
      </c>
    </row>
    <row r="131" outlineLevel="1">
      <c r="A131" s="1" t="s">
        <v>534</v>
      </c>
      <c r="B131" s="1" t="s">
        <v>535</v>
      </c>
      <c r="C131" s="2" t="s">
        <v>531</v>
      </c>
      <c r="D131" s="6" t="str">
        <f>IFERROR(__xludf.DUMMYFUNCTION("IF(EQ(A131,B131),"""",SWITCH(IF(T131="""",0,COUNTA(SPLIT(T131,"" ""))),0,""Generic"",1,TRIM(T131),2,""Multicolor"",3,""Multicolor"",4,""Multicolor"",5,""Multicolor"",6,""Multicolor"",7,""Multicolor"",8,""Multicolor""))"),"Yellow")</f>
        <v>Yellow</v>
      </c>
      <c r="E131" s="1" t="s">
        <v>79</v>
      </c>
      <c r="F131" s="1" t="s">
        <v>26</v>
      </c>
      <c r="G131" s="1" t="s">
        <v>536</v>
      </c>
      <c r="H131" s="2" t="s">
        <v>129</v>
      </c>
      <c r="I131" s="3" t="s">
        <v>537</v>
      </c>
      <c r="J131" s="3" t="s">
        <v>538</v>
      </c>
      <c r="K131" s="1">
        <v>4</v>
      </c>
      <c r="L131" s="1">
        <v>4</v>
      </c>
      <c r="O131" s="3"/>
      <c r="Q131" s="1">
        <v>50</v>
      </c>
      <c r="R131" s="1">
        <v>35</v>
      </c>
      <c r="S131" s="4" t="str">
        <f t="shared" si="8"/>
        <v>True</v>
      </c>
      <c r="T131" s="4" t="str">
        <f>IFERROR(__xludf.DUMMYFUNCTION("CONCATENATE(if(REGEXMATCH(C131,""R""),"" Red"",""""),if(REGEXMATCH(C131,""O""),"" Orange"",""""),if(REGEXMATCH(C131,""Y""),"" Yellow"",""""),if(REGEXMATCH(C131,""G""),"" Green"",""""),if(REGEXMATCH(C131,""B""),"" Blue"",""""),if(REGEXMATCH(C131,""P""),"" "&amp;"Purple"",""""))")," Yellow")</f>
        <v>Yellow</v>
      </c>
      <c r="U131" s="4" t="str">
        <f>IFERROR(__xludf.DUMMYFUNCTION("TRIM(CONCAT(""[right]"", REGEXREPLACE(C131, ""([ROYGBPXZC_]|1?[0-9])"", ""[img=119]res://textures/icons/$0.png[/img]\\n"")))"),"[right][img=119]res://textures/icons/2.png[/img]\n[img=119]res://textures/icons/Y.png[/img]\n")</f>
        <v>[right][img=119]res://textures/icons/2.png[/img]\n[img=119]res://textures/icons/Y.png[/img]\n</v>
      </c>
      <c r="V131" s="4" t="str">
        <f>IFERROR(__xludf.DUMMYFUNCTION("SUBSTITUTE(SUBSTITUTE(SUBSTITUTE(SUBSTITUTE(REGEXREPLACE(SUBSTITUTE(SUBSTITUTE(SUBSTITUTE(SUBSTITUTE(REGEXREPLACE(I131, ""(\[([ROYGBPTQUXZC_]|1?[0-9])\])"", ""[img=45]res://textures/icons/$2.png[/img]""),""--"",""—""),""-&gt;"",""•""),""~@"", CONCATENATE(""["&amp;"i]"",REGEXEXTRACT(B131,""^([\s\S]*),|$""),""[/i]"")),""~"", CONCATENATE(""[i]"",B131,""[/i]"")),""(\([\s\S]*?\))"",""[i][color=#34343A]$0[/color][/i]""), ""&lt;"", ""[""), ""&gt;"", ""]""), ""[/p][p]"", ""[font_size=15]\n\n[/font_size]""), ""[br/]"", ""\n"")"),"[center][u]Retribution[/u] [i][color=#34343A](When you draw [i]Anti-Pirate Guards[/i] as a result of taking damage, you may deploy it without paying its cost.)[/color][/i][/center][p]Whenever an asset you own comes under the control of another player, [i]"&amp;"Anti-Pirate Guards[/i] deals 3 damage to their commander.[/p]")</f>
        <v xml:space="preserve">[center][u]Retribution[/u] [i][color=#34343A](When you draw [i]Anti-Pirate Guards[/i] as a result of taking damage, you may deploy it without paying its cost.)[/color][/i][/center][p]Whenever an asset you own comes under the control of another player, [i]Anti-Pirate Guards[/i] deals 3 damage to their commander.[/p]</v>
      </c>
      <c r="W131" s="4" t="str">
        <f t="shared" si="9"/>
        <v>[i]Asset[/i]</v>
      </c>
      <c r="X131" s="4" t="str">
        <f t="shared" si="10"/>
        <v>RT_YU_007</v>
      </c>
    </row>
    <row r="132" outlineLevel="1">
      <c r="A132" s="1" t="s">
        <v>539</v>
      </c>
      <c r="B132" s="1" t="s">
        <v>540</v>
      </c>
      <c r="C132" s="2" t="s">
        <v>483</v>
      </c>
      <c r="D132" s="6" t="str">
        <f>IFERROR(__xludf.DUMMYFUNCTION("IF(EQ(A132,B132),"""",SWITCH(IF(T132="""",0,COUNTA(SPLIT(T132,"" ""))),0,""Generic"",1,TRIM(T132),2,""Multicolor"",3,""Multicolor"",4,""Multicolor"",5,""Multicolor"",6,""Multicolor"",7,""Multicolor"",8,""Multicolor""))"),"Yellow")</f>
        <v>Yellow</v>
      </c>
      <c r="E132" s="1" t="s">
        <v>51</v>
      </c>
      <c r="F132" s="1" t="s">
        <v>26</v>
      </c>
      <c r="G132" s="1" t="s">
        <v>541</v>
      </c>
      <c r="H132" s="2" t="s">
        <v>134</v>
      </c>
      <c r="I132" s="11" t="s">
        <v>542</v>
      </c>
      <c r="J132" s="3"/>
      <c r="K132" s="1">
        <v>2</v>
      </c>
      <c r="L132" s="1">
        <v>3</v>
      </c>
      <c r="O132" s="3"/>
      <c r="Q132" s="1">
        <v>60</v>
      </c>
      <c r="R132" s="1">
        <v>35</v>
      </c>
      <c r="S132" s="4" t="str">
        <f t="shared" si="8"/>
        <v>True</v>
      </c>
      <c r="T132" s="4" t="str">
        <f>IFERROR(__xludf.DUMMYFUNCTION("CONCATENATE(if(REGEXMATCH(C132,""R""),"" Red"",""""),if(REGEXMATCH(C132,""O""),"" Orange"",""""),if(REGEXMATCH(C132,""Y""),"" Yellow"",""""),if(REGEXMATCH(C132,""G""),"" Green"",""""),if(REGEXMATCH(C132,""B""),"" Blue"",""""),if(REGEXMATCH(C132,""P""),"" "&amp;"Purple"",""""))")," Yellow")</f>
        <v>Yellow</v>
      </c>
      <c r="U132" s="4" t="str">
        <f>IFERROR(__xludf.DUMMYFUNCTION("TRIM(CONCAT(""[right]"", REGEXREPLACE(C132, ""([ROYGBPXZC_]|1?[0-9])"", ""[img=119]res://textures/icons/$0.png[/img]\\n"")))"),"[right][img=119]res://textures/icons/1.png[/img]\n[img=119]res://textures/icons/Y.png[/img]\n")</f>
        <v>[right][img=119]res://textures/icons/1.png[/img]\n[img=119]res://textures/icons/Y.png[/img]\n</v>
      </c>
      <c r="V132" s="4" t="str">
        <f>IFERROR(__xludf.DUMMYFUNCTION("SUBSTITUTE(SUBSTITUTE(SUBSTITUTE(SUBSTITUTE(REGEXREPLACE(SUBSTITUTE(SUBSTITUTE(SUBSTITUTE(SUBSTITUTE(REGEXREPLACE(I132, ""(\[([ROYGBPTQUXZC_]|1?[0-9])\])"", ""[img=45]res://textures/icons/$2.png[/img]""),""--"",""—""),""-&gt;"",""•""),""~@"", CONCATENATE(""["&amp;"i]"",REGEXEXTRACT(B132,""^([\s\S]*),|$""),""[/i]"")),""~"", CONCATENATE(""[i]"",B132,""[/i]"")),""(\([\s\S]*?\))"",""[i][color=#34343A]$0[/color][/i]""), ""&lt;"", ""[""), ""&gt;"", ""]""), ""[/p][p]"", ""[font_size=15]\n\n[/font_size]""), ""[br/]"", ""\n"")"),"[center][u]Mob[/u] [i][color=#34343A](You may assign any number of mob combatants you control to a unit. Any number of your opponent's combatants may intercept these units. You, not your opponent, choose how combat damage is divided among the intercepted "&amp;"and intercepting mob units you control.)[/color][/i], [u]Spacecraft[/u] [i][color=#34343A]([i]Mining Fleet[/i] can only intercept or be intercepted by assets with spacecraft.)[/color][/i][/center][p]A deck may have any number of [i]Mining Fleet[/i] in it."&amp;"[font_size=15]\n\n[/font_size][i]Mining Fleet[/i] can only mob with other spacecraft.[/p]")</f>
        <v xml:space="preserve">[center][u]Mob[/u] [i][color=#34343A](You may assign any number of mob combatants you control to a unit. Any number of your opponent's combatants may intercept these units. You, not your opponent, choose how combat damage is divided among the intercepted and intercepting mob units you control.)[/color][/i], [u]Spacecraft[/u] [i][color=#34343A]([i]Mining Fleet[/i] can only intercept or be intercepted by assets with spacecraft.)[/color][/i][/center][p]A deck may have any number of [i]Mining Fleet[/i] in it.[font_size=15]\n\n[/font_size][i]Mining Fleet[/i] can only mob with other spacecraft.[/p]</v>
      </c>
      <c r="W132" s="4" t="str">
        <f t="shared" si="9"/>
        <v>[i]Asset[/i]</v>
      </c>
      <c r="X132" s="4" t="str">
        <f t="shared" si="10"/>
        <v>RT_YU_008</v>
      </c>
    </row>
    <row r="133" outlineLevel="1">
      <c r="A133" s="1" t="s">
        <v>543</v>
      </c>
      <c r="B133" s="1" t="s">
        <v>544</v>
      </c>
      <c r="C133" s="2" t="s">
        <v>483</v>
      </c>
      <c r="D133" s="6" t="str">
        <f>IFERROR(__xludf.DUMMYFUNCTION("IF(EQ(A133,B133),"""",SWITCH(IF(T133="""",0,COUNTA(SPLIT(T133,"" ""))),0,""Generic"",1,TRIM(T133),2,""Multicolor"",3,""Multicolor"",4,""Multicolor"",5,""Multicolor"",6,""Multicolor"",7,""Multicolor"",8,""Multicolor""))"),"Yellow")</f>
        <v>Yellow</v>
      </c>
      <c r="E133" s="1" t="s">
        <v>51</v>
      </c>
      <c r="F133" s="1" t="s">
        <v>26</v>
      </c>
      <c r="G133" s="1" t="s">
        <v>545</v>
      </c>
      <c r="H133" s="2" t="s">
        <v>50</v>
      </c>
      <c r="I133" s="3"/>
      <c r="J133" s="3" t="s">
        <v>546</v>
      </c>
      <c r="K133" s="1">
        <v>4</v>
      </c>
      <c r="L133" s="1">
        <v>4</v>
      </c>
      <c r="O133" s="3"/>
      <c r="Q133" s="1">
        <v>60</v>
      </c>
      <c r="R133" s="1">
        <v>35</v>
      </c>
      <c r="S133" s="4" t="str">
        <f t="shared" si="8"/>
        <v>True</v>
      </c>
      <c r="T133" s="4" t="str">
        <f>IFERROR(__xludf.DUMMYFUNCTION("CONCATENATE(if(REGEXMATCH(C133,""R""),"" Red"",""""),if(REGEXMATCH(C133,""O""),"" Orange"",""""),if(REGEXMATCH(C133,""Y""),"" Yellow"",""""),if(REGEXMATCH(C133,""G""),"" Green"",""""),if(REGEXMATCH(C133,""B""),"" Blue"",""""),if(REGEXMATCH(C133,""P""),"" "&amp;"Purple"",""""))")," Yellow")</f>
        <v>Yellow</v>
      </c>
      <c r="U133" s="4" t="str">
        <f>IFERROR(__xludf.DUMMYFUNCTION("TRIM(CONCAT(""[right]"", REGEXREPLACE(C133, ""([ROYGBPXZC_]|1?[0-9])"", ""[img=119]res://textures/icons/$0.png[/img]\\n"")))"),"[right][img=119]res://textures/icons/1.png[/img]\n[img=119]res://textures/icons/Y.png[/img]\n")</f>
        <v>[right][img=119]res://textures/icons/1.png[/img]\n[img=119]res://textures/icons/Y.png[/img]\n</v>
      </c>
      <c r="V133" s="4" t="str">
        <f>IFERROR(__xludf.DUMMYFUNCTION("SUBSTITUTE(SUBSTITUTE(SUBSTITUTE(SUBSTITUTE(REGEXREPLACE(SUBSTITUTE(SUBSTITUTE(SUBSTITUTE(SUBSTITUTE(REGEXREPLACE(I133, ""(\[([ROYGBPTQUXZC_]|1?[0-9])\])"", ""[img=45]res://textures/icons/$2.png[/img]""),""--"",""—""),""-&gt;"",""•""),""~@"", CONCATENATE(""["&amp;"i]"",REGEXEXTRACT(B133,""^([\s\S]*),|$""),""[/i]"")),""~"", CONCATENATE(""[i]"",B133,""[/i]"")),""(\([\s\S]*?\))"",""[i][color=#34343A]$0[/color][/i]""), ""&lt;"", ""[""), ""&gt;"", ""]""), ""[/p][p]"", ""[font_size=15]\n\n[/font_size]""), ""[br/]"", ""\n"")"),"")</f>
        <v/>
      </c>
      <c r="W133" s="4" t="str">
        <f t="shared" si="9"/>
        <v>[i]Asset[/i]</v>
      </c>
      <c r="X133" s="4" t="str">
        <f t="shared" si="10"/>
        <v>RT_YC_001</v>
      </c>
    </row>
    <row r="134" outlineLevel="1">
      <c r="A134" s="1" t="s">
        <v>547</v>
      </c>
      <c r="B134" s="1" t="s">
        <v>548</v>
      </c>
      <c r="C134" s="2" t="s">
        <v>483</v>
      </c>
      <c r="D134" s="6" t="str">
        <f>IFERROR(__xludf.DUMMYFUNCTION("IF(EQ(A134,B134),"""",SWITCH(IF(T134="""",0,COUNTA(SPLIT(T134,"" ""))),0,""Generic"",1,TRIM(T134),2,""Multicolor"",3,""Multicolor"",4,""Multicolor"",5,""Multicolor"",6,""Multicolor"",7,""Multicolor"",8,""Multicolor""))"),"Yellow")</f>
        <v>Yellow</v>
      </c>
      <c r="E134" s="1"/>
      <c r="F134" s="1" t="s">
        <v>33</v>
      </c>
      <c r="G134" s="1" t="s">
        <v>118</v>
      </c>
      <c r="H134" s="2" t="s">
        <v>32</v>
      </c>
      <c r="I134" s="3" t="s">
        <v>549</v>
      </c>
      <c r="J134" s="3"/>
      <c r="O134" s="3"/>
      <c r="Q134" s="1">
        <v>60</v>
      </c>
      <c r="R134" s="1">
        <v>50</v>
      </c>
      <c r="S134" s="4" t="str">
        <f t="shared" si="8"/>
        <v>False</v>
      </c>
      <c r="T134" s="4" t="str">
        <f>IFERROR(__xludf.DUMMYFUNCTION("CONCATENATE(if(REGEXMATCH(C134,""R""),"" Red"",""""),if(REGEXMATCH(C134,""O""),"" Orange"",""""),if(REGEXMATCH(C134,""Y""),"" Yellow"",""""),if(REGEXMATCH(C134,""G""),"" Green"",""""),if(REGEXMATCH(C134,""B""),"" Blue"",""""),if(REGEXMATCH(C134,""P""),"" "&amp;"Purple"",""""))")," Yellow")</f>
        <v>Yellow</v>
      </c>
      <c r="U134" s="4" t="str">
        <f>IFERROR(__xludf.DUMMYFUNCTION("TRIM(CONCAT(""[right]"", REGEXREPLACE(C134, ""([ROYGBPXZC_]|1?[0-9])"", ""[img=119]res://textures/icons/$0.png[/img]\\n"")))"),"[right][img=119]res://textures/icons/1.png[/img]\n[img=119]res://textures/icons/Y.png[/img]\n")</f>
        <v>[right][img=119]res://textures/icons/1.png[/img]\n[img=119]res://textures/icons/Y.png[/img]\n</v>
      </c>
      <c r="V134" s="4" t="str">
        <f>IFERROR(__xludf.DUMMYFUNCTION("SUBSTITUTE(SUBSTITUTE(SUBSTITUTE(SUBSTITUTE(REGEXREPLACE(SUBSTITUTE(SUBSTITUTE(SUBSTITUTE(SUBSTITUTE(REGEXREPLACE(I134, ""(\[([ROYGBPTQUXZC_]|1?[0-9])\])"", ""[img=45]res://textures/icons/$2.png[/img]""),""--"",""—""),""-&gt;"",""•""),""~@"", CONCATENATE(""["&amp;"i]"",REGEXEXTRACT(B134,""^([\s\S]*),|$""),""[/i]"")),""~"", CONCATENATE(""[i]"",B134,""[/i]"")),""(\([\s\S]*?\))"",""[i][color=#34343A]$0[/color][/i]""), ""&lt;"", ""[""), ""&gt;"", ""]""), ""[/p][p]"", ""[font_size=15]\n\n[/font_size]""), ""[br/]"", ""\n"")"),"[p]Choose a card on the stack and replace all references to players and their commander on that card with the player of your choice.[/p]")</f>
        <v xml:space="preserve">[p]Choose a card on the stack and replace all references to players and their commander on that card with the player of your choice.[/p]</v>
      </c>
      <c r="W134" s="4" t="str">
        <f t="shared" si="9"/>
        <v>[i]Effect[/i]</v>
      </c>
      <c r="X134" s="4" t="str">
        <f t="shared" si="10"/>
        <v>RT_YC_002</v>
      </c>
    </row>
    <row r="135" outlineLevel="1">
      <c r="A135" s="1" t="s">
        <v>550</v>
      </c>
      <c r="B135" s="4" t="s">
        <v>551</v>
      </c>
      <c r="C135" s="5" t="s">
        <v>507</v>
      </c>
      <c r="D135" s="6" t="str">
        <f>IFERROR(__xludf.DUMMYFUNCTION("IF(ISBLANK(A135),"""",SWITCH(IF(T135="""",0,COUNTA(SPLIT(T135,"" ""))),0,""Generic"",1,TRIM(T135),2,""Multicolor"",3,""Multicolor"",4,""Multicolor"",5,""Multicolor"",6,""Multicolor"",7,""Multicolor"",8,""Multicolor""))"),"Yellow")</f>
        <v>Yellow</v>
      </c>
      <c r="E135" s="4"/>
      <c r="F135" s="4" t="s">
        <v>33</v>
      </c>
      <c r="G135" s="4" t="s">
        <v>118</v>
      </c>
      <c r="H135" s="5" t="s">
        <v>44</v>
      </c>
      <c r="I135" s="7" t="s">
        <v>552</v>
      </c>
      <c r="J135" s="7" t="s">
        <v>553</v>
      </c>
      <c r="O135" s="3"/>
      <c r="Q135" s="1">
        <v>60</v>
      </c>
      <c r="R135" s="1">
        <v>50</v>
      </c>
      <c r="S135" s="4" t="str">
        <f t="shared" si="8"/>
        <v>False</v>
      </c>
      <c r="T135" s="4" t="str">
        <f>IFERROR(__xludf.DUMMYFUNCTION("CONCATENATE(if(REGEXMATCH(C135,""R""),"" Red"",""""),if(REGEXMATCH(C135,""O""),"" Orange"",""""),if(REGEXMATCH(C135,""Y""),"" Yellow"",""""),if(REGEXMATCH(C135,""G""),"" Green"",""""),if(REGEXMATCH(C135,""B""),"" Blue"",""""),if(REGEXMATCH(C135,""P""),"" "&amp;"Purple"",""""))")," Yellow")</f>
        <v>Yellow</v>
      </c>
      <c r="U135" s="4" t="str">
        <f>IFERROR(__xludf.DUMMYFUNCTION("TRIM(CONCAT(""[right]"", REGEXREPLACE(C135, ""([ROYGBPXZC_]|1?[0-9])"", ""[img=119]res://textures/icons/$0.png[/img]\\n"")))"),"[right][img=119]res://textures/icons/Y.png[/img]\n")</f>
        <v>[right][img=119]res://textures/icons/Y.png[/img]\n</v>
      </c>
      <c r="V135" s="4" t="str">
        <f>IFERROR(__xludf.DUMMYFUNCTION("SUBSTITUTE(SUBSTITUTE(SUBSTITUTE(SUBSTITUTE(REGEXREPLACE(SUBSTITUTE(SUBSTITUTE(SUBSTITUTE(SUBSTITUTE(REGEXREPLACE(I135, ""(\[([ROYGBPTQUXZC_]|1?[0-9])\])"", ""[img=45]res://textures/icons/$2.png[/img]""),""--"",""—""),""-&gt;"",""•""),""~@"", CONCATENATE(""["&amp;"i]"",REGEXEXTRACT(B135,""^([\s\S]*),|$""),""[/i]"")),""~"", CONCATENATE(""[i]"",B135,""[/i]"")),""(\([\s\S]*?\))"",""[i][color=#34343A]$0[/color][/i]""), ""&lt;"", ""[""), ""&gt;"", ""]""), ""[/p][p]"", ""[font_size=15]\n\n[/font_size]""), ""[br/]"", ""\n"")"),"Draw 2 cards, then discard a card at random.")</f>
        <v xml:space="preserve">Draw 2 cards, then discard a card at random.</v>
      </c>
      <c r="W135" s="4" t="str">
        <f t="shared" si="9"/>
        <v>[i]Effect[/i]</v>
      </c>
      <c r="X135" s="4" t="str">
        <f t="shared" si="10"/>
        <v>RT_YC_003</v>
      </c>
    </row>
    <row r="136" outlineLevel="1">
      <c r="A136" s="1" t="s">
        <v>554</v>
      </c>
      <c r="B136" s="4" t="s">
        <v>555</v>
      </c>
      <c r="C136" s="5" t="s">
        <v>483</v>
      </c>
      <c r="D136" s="6" t="str">
        <f>IFERROR(__xludf.DUMMYFUNCTION("IF(ISBLANK(A136),"""",SWITCH(IF(T136="""",0,COUNTA(SPLIT(T136,"" ""))),0,""Generic"",1,TRIM(T136),2,""Multicolor"",3,""Multicolor"",4,""Multicolor"",5,""Multicolor"",6,""Multicolor"",7,""Multicolor"",8,""Multicolor""))"),"Yellow")</f>
        <v>Yellow</v>
      </c>
      <c r="E136" s="4"/>
      <c r="F136" s="4" t="s">
        <v>33</v>
      </c>
      <c r="G136" s="4" t="s">
        <v>118</v>
      </c>
      <c r="H136" s="5" t="s">
        <v>44</v>
      </c>
      <c r="I136" s="7" t="s">
        <v>556</v>
      </c>
      <c r="J136" s="7" t="s">
        <v>557</v>
      </c>
      <c r="O136" s="3"/>
      <c r="Q136" s="1">
        <v>60</v>
      </c>
      <c r="R136" s="1">
        <v>50</v>
      </c>
      <c r="S136" s="4" t="str">
        <f t="shared" si="8"/>
        <v>False</v>
      </c>
      <c r="T136" s="4" t="str">
        <f>IFERROR(__xludf.DUMMYFUNCTION("CONCATENATE(if(REGEXMATCH(C136,""R""),"" Red"",""""),if(REGEXMATCH(C136,""O""),"" Orange"",""""),if(REGEXMATCH(C136,""Y""),"" Yellow"",""""),if(REGEXMATCH(C136,""G""),"" Green"",""""),if(REGEXMATCH(C136,""B""),"" Blue"",""""),if(REGEXMATCH(C136,""P""),"" "&amp;"Purple"",""""))")," Yellow")</f>
        <v>Yellow</v>
      </c>
      <c r="U136" s="4" t="str">
        <f>IFERROR(__xludf.DUMMYFUNCTION("TRIM(CONCAT(""[right]"", REGEXREPLACE(C136, ""([ROYGBPXZC_]|1?[0-9])"", ""[img=119]res://textures/icons/$0.png[/img]\\n"")))"),"[right][img=119]res://textures/icons/1.png[/img]\n[img=119]res://textures/icons/Y.png[/img]\n")</f>
        <v>[right][img=119]res://textures/icons/1.png[/img]\n[img=119]res://textures/icons/Y.png[/img]\n</v>
      </c>
      <c r="V136" s="4" t="str">
        <f>IFERROR(__xludf.DUMMYFUNCTION("SUBSTITUTE(SUBSTITUTE(SUBSTITUTE(SUBSTITUTE(REGEXREPLACE(SUBSTITUTE(SUBSTITUTE(SUBSTITUTE(SUBSTITUTE(REGEXREPLACE(I136, ""(\[([ROYGBPTQUXZC_]|1?[0-9])\])"", ""[img=45]res://textures/icons/$2.png[/img]""),""--"",""—""),""-&gt;"",""•""),""~@"", CONCATENATE(""["&amp;"i]"",REGEXEXTRACT(B136,""^([\s\S]*),|$""),""[/i]"")),""~"", CONCATENATE(""[i]"",B136,""[/i]"")),""(\([\s\S]*?\))"",""[i][color=#34343A]$0[/color][/i]""), ""&lt;"", ""[""), ""&gt;"", ""]""), ""[/p][p]"", ""[font_size=15]\n\n[/font_size]""), ""[br/]"", ""\n"")"),"[p]Choose an asset or card in your hand, until end of turn, it gets +4/+0 and [u]airdrop[/u] [i][color=#34343A](It enters the battlefield as soon as it resolves.)[/color][/i].[font_size=15]\n\n[/font_size][u]Forfeit[/u] [i][color=#34343A](Put the specifie"&amp;"d card into its owner's discard.)[/color][/i] it at the end of the turn.[/p]")</f>
        <v xml:space="preserve">[p]Choose an asset or card in your hand, until end of turn, it gets +4/+0 and [u]airdrop[/u] [i][color=#34343A](It enters the battlefield as soon as it resolves.)[/color][/i].[font_size=15]\n\n[/font_size][u]Forfeit[/u] [i][color=#34343A](Put the specified card into its owner's discard.)[/color][/i] it at the end of the turn.[/p]</v>
      </c>
      <c r="W136" s="4" t="str">
        <f t="shared" si="9"/>
        <v>[i]Effect[/i]</v>
      </c>
      <c r="X136" s="4" t="str">
        <f t="shared" si="10"/>
        <v>RT_YC_004</v>
      </c>
    </row>
    <row r="137" outlineLevel="1">
      <c r="A137" s="1" t="s">
        <v>558</v>
      </c>
      <c r="B137" s="4" t="s">
        <v>559</v>
      </c>
      <c r="C137" s="5" t="s">
        <v>483</v>
      </c>
      <c r="D137" s="6" t="str">
        <f>IFERROR(__xludf.DUMMYFUNCTION("IF(ISBLANK(A137),"""",SWITCH(IF(T137="""",0,COUNTA(SPLIT(T137,"" ""))),0,""Generic"",1,TRIM(T137),2,""Multicolor"",3,""Multicolor"",4,""Multicolor"",5,""Multicolor"",6,""Multicolor"",7,""Multicolor"",8,""Multicolor""))"),"Yellow")</f>
        <v>Yellow</v>
      </c>
      <c r="E137" s="4"/>
      <c r="F137" s="4" t="s">
        <v>33</v>
      </c>
      <c r="G137" s="4"/>
      <c r="H137" s="5" t="s">
        <v>44</v>
      </c>
      <c r="I137" s="7" t="s">
        <v>560</v>
      </c>
      <c r="J137" s="7" t="s">
        <v>561</v>
      </c>
      <c r="O137" s="3"/>
      <c r="Q137" s="1">
        <v>60</v>
      </c>
      <c r="R137" s="1">
        <v>50</v>
      </c>
      <c r="S137" s="4" t="str">
        <f t="shared" si="8"/>
        <v>False</v>
      </c>
      <c r="T137" s="4" t="str">
        <f>IFERROR(__xludf.DUMMYFUNCTION("CONCATENATE(if(REGEXMATCH(C137,""R""),"" Red"",""""),if(REGEXMATCH(C137,""O""),"" Orange"",""""),if(REGEXMATCH(C137,""Y""),"" Yellow"",""""),if(REGEXMATCH(C137,""G""),"" Green"",""""),if(REGEXMATCH(C137,""B""),"" Blue"",""""),if(REGEXMATCH(C137,""P""),"" "&amp;"Purple"",""""))")," Yellow")</f>
        <v>Yellow</v>
      </c>
      <c r="U137" s="4" t="str">
        <f>IFERROR(__xludf.DUMMYFUNCTION("TRIM(CONCAT(""[right]"", REGEXREPLACE(C137, ""([ROYGBPXZC_]|1?[0-9])"", ""[img=119]res://textures/icons/$0.png[/img]\\n"")))"),"[right][img=119]res://textures/icons/1.png[/img]\n[img=119]res://textures/icons/Y.png[/img]\n")</f>
        <v>[right][img=119]res://textures/icons/1.png[/img]\n[img=119]res://textures/icons/Y.png[/img]\n</v>
      </c>
      <c r="V137" s="4" t="str">
        <f>IFERROR(__xludf.DUMMYFUNCTION("SUBSTITUTE(SUBSTITUTE(SUBSTITUTE(SUBSTITUTE(REGEXREPLACE(SUBSTITUTE(SUBSTITUTE(SUBSTITUTE(SUBSTITUTE(REGEXREPLACE(I137, ""(\[([ROYGBPTQUXZC_]|1?[0-9])\])"", ""[img=45]res://textures/icons/$2.png[/img]""),""--"",""—""),""-&gt;"",""•""),""~@"", CONCATENATE(""["&amp;"i]"",REGEXEXTRACT(B137,""^([\s\S]*),|$""),""[/i]"")),""~"", CONCATENATE(""[i]"",B137,""[/i]"")),""(\([\s\S]*?\))"",""[i][color=#34343A]$0[/color][/i]""), ""&lt;"", ""[""), ""&gt;"", ""]""), ""[/p][p]"", ""[font_size=15]\n\n[/font_size]""), ""[br/]"", ""\n"")"),"[center][u]Exchange [img=45]res://textures/icons/2.png[/img][/u] [i][color=#34343A](Pay [img=45]res://textures/icons/2.png[/img], Discard [i]Transfer Supplies[/i] from your hand: Draw a card.)[/color][/i][/center][p]Choose an opponent, swap the top card o"&amp;"f your deck with the top card of their deck.[/p]")</f>
        <v xml:space="preserve">[center][u]Exchange [img=45]res://textures/icons/2.png[/img][/u] [i][color=#34343A](Pay [img=45]res://textures/icons/2.png[/img], Discard [i]Transfer Supplies[/i] from your hand: Draw a card.)[/color][/i][/center][p]Choose an opponent, swap the top card of your deck with the top card of their deck.[/p]</v>
      </c>
      <c r="W137" s="4" t="str">
        <f t="shared" si="9"/>
        <v>[i]Effect[/i]</v>
      </c>
      <c r="X137" s="4" t="str">
        <f t="shared" si="10"/>
        <v>RT_YC_005</v>
      </c>
    </row>
    <row r="138" outlineLevel="1">
      <c r="A138" s="1" t="s">
        <v>562</v>
      </c>
      <c r="B138" s="1" t="s">
        <v>563</v>
      </c>
      <c r="C138" s="2" t="s">
        <v>483</v>
      </c>
      <c r="D138" s="6" t="str">
        <f>IFERROR(__xludf.DUMMYFUNCTION("IF(EQ(A138,B138),"""",SWITCH(IF(T138="""",0,COUNTA(SPLIT(T138,"" ""))),0,""Generic"",1,TRIM(T138),2,""Multicolor"",3,""Multicolor"",4,""Multicolor"",5,""Multicolor"",6,""Multicolor"",7,""Multicolor"",8,""Multicolor""))"),"Yellow")</f>
        <v>Yellow</v>
      </c>
      <c r="E138" s="1" t="s">
        <v>79</v>
      </c>
      <c r="F138" s="1" t="s">
        <v>26</v>
      </c>
      <c r="G138" s="1" t="s">
        <v>564</v>
      </c>
      <c r="H138" s="2" t="s">
        <v>134</v>
      </c>
      <c r="I138" s="3" t="s">
        <v>565</v>
      </c>
      <c r="J138" s="3" t="s">
        <v>566</v>
      </c>
      <c r="K138" s="1">
        <v>6</v>
      </c>
      <c r="L138" s="1">
        <v>6</v>
      </c>
      <c r="O138" s="3"/>
      <c r="Q138" s="1">
        <v>60</v>
      </c>
      <c r="R138" s="1">
        <v>40</v>
      </c>
      <c r="S138" s="4" t="str">
        <f t="shared" si="8"/>
        <v>True</v>
      </c>
      <c r="T138" s="4" t="str">
        <f>IFERROR(__xludf.DUMMYFUNCTION("CONCATENATE(if(REGEXMATCH(C138,""R""),"" Red"",""""),if(REGEXMATCH(C138,""O""),"" Orange"",""""),if(REGEXMATCH(C138,""Y""),"" Yellow"",""""),if(REGEXMATCH(C138,""G""),"" Green"",""""),if(REGEXMATCH(C138,""B""),"" Blue"",""""),if(REGEXMATCH(C138,""P""),"" "&amp;"Purple"",""""))")," Yellow")</f>
        <v>Yellow</v>
      </c>
      <c r="U138" s="4" t="str">
        <f>IFERROR(__xludf.DUMMYFUNCTION("TRIM(CONCAT(""[right]"", REGEXREPLACE(C138, ""([ROYGBPXZC_]|1?[0-9])"", ""[img=119]res://textures/icons/$0.png[/img]\\n"")))"),"[right][img=119]res://textures/icons/1.png[/img]\n[img=119]res://textures/icons/Y.png[/img]\n")</f>
        <v>[right][img=119]res://textures/icons/1.png[/img]\n[img=119]res://textures/icons/Y.png[/img]\n</v>
      </c>
      <c r="V138" s="4" t="str">
        <f>IFERROR(__xludf.DUMMYFUNCTION("SUBSTITUTE(SUBSTITUTE(SUBSTITUTE(SUBSTITUTE(REGEXREPLACE(SUBSTITUTE(SUBSTITUTE(SUBSTITUTE(SUBSTITUTE(REGEXREPLACE(I138, ""(\[([ROYGBPTQUXZC_]|1?[0-9])\])"", ""[img=45]res://textures/icons/$2.png[/img]""),""--"",""—""),""-&gt;"",""•""),""~@"", CONCATENATE(""["&amp;"i]"",REGEXEXTRACT(B138,""^([\s\S]*),|$""),""[/i]"")),""~"", CONCATENATE(""[i]"",B138,""[/i]"")),""(\([\s\S]*?\))"",""[i][color=#34343A]$0[/color][/i]""), ""&lt;"", ""[""), ""&gt;"", ""]""), ""[/p][p]"", ""[font_size=15]\n\n[/font_size]""), ""[br/]"", ""\n"")"),"[center][u]Spacecraft[/u] [i][color=#34343A]([i]Doomed Convoy[/i] can only intercept or be intercepted by assets with spacecraft.)[/color][/i][/center][p]When [i]Doomed Convoy[/i] resolves, there is a 25% chance to give it to a random opponent.[/p]")</f>
        <v xml:space="preserve">[center][u]Spacecraft[/u] [i][color=#34343A]([i]Doomed Convoy[/i] can only intercept or be intercepted by assets with spacecraft.)[/color][/i][/center][p]When [i]Doomed Convoy[/i] resolves, there is a 25% chance to give it to a random opponent.[/p]</v>
      </c>
      <c r="W138" s="4" t="str">
        <f t="shared" si="9"/>
        <v>[i]Asset[/i]</v>
      </c>
      <c r="X138" s="4" t="str">
        <f t="shared" si="10"/>
        <v>RT_YC_006</v>
      </c>
    </row>
    <row r="139" outlineLevel="1">
      <c r="A139" s="1" t="s">
        <v>567</v>
      </c>
      <c r="B139" s="1" t="s">
        <v>568</v>
      </c>
      <c r="C139" s="2" t="s">
        <v>488</v>
      </c>
      <c r="D139" s="6" t="str">
        <f>IFERROR(__xludf.DUMMYFUNCTION("IF(EQ(A139,B139),"""",SWITCH(IF(T139="""",0,COUNTA(SPLIT(T139,"" ""))),0,""Generic"",1,TRIM(T139),2,""Multicolor"",3,""Multicolor"",4,""Multicolor"",5,""Multicolor"",6,""Multicolor"",7,""Multicolor"",8,""Multicolor""))"),"Yellow")</f>
        <v>Yellow</v>
      </c>
      <c r="E139" s="1" t="s">
        <v>79</v>
      </c>
      <c r="F139" s="1" t="s">
        <v>26</v>
      </c>
      <c r="G139" s="1" t="s">
        <v>569</v>
      </c>
      <c r="H139" s="2" t="s">
        <v>50</v>
      </c>
      <c r="I139" s="3" t="s">
        <v>570</v>
      </c>
      <c r="J139" s="3"/>
      <c r="K139" s="1">
        <v>4</v>
      </c>
      <c r="L139" s="1">
        <v>4</v>
      </c>
      <c r="O139" s="3"/>
      <c r="Q139" s="1">
        <v>45</v>
      </c>
      <c r="R139" s="1">
        <v>50</v>
      </c>
      <c r="S139" s="4" t="str">
        <f t="shared" si="8"/>
        <v>True</v>
      </c>
      <c r="T139" s="4" t="str">
        <f>IFERROR(__xludf.DUMMYFUNCTION("CONCATENATE(if(REGEXMATCH(C139,""R""),"" Red"",""""),if(REGEXMATCH(C139,""O""),"" Orange"",""""),if(REGEXMATCH(C139,""Y""),"" Yellow"",""""),if(REGEXMATCH(C139,""G""),"" Green"",""""),if(REGEXMATCH(C139,""B""),"" Blue"",""""),if(REGEXMATCH(C139,""P""),"" "&amp;"Purple"",""""))")," Yellow")</f>
        <v>Yellow</v>
      </c>
      <c r="U139" s="4" t="str">
        <f>IFERROR(__xludf.DUMMYFUNCTION("TRIM(CONCAT(""[right]"", REGEXREPLACE(C139, ""([ROYGBPXZC_]|1?[0-9])"", ""[img=119]res://textures/icons/$0.png[/img]\\n"")))"),"[right][img=119]res://textures/icons/1.png[/img]\n[img=119]res://textures/icons/Y.png[/img]\n[img=119]res://textures/icons/Y.png[/img]\n")</f>
        <v>[right][img=119]res://textures/icons/1.png[/img]\n[img=119]res://textures/icons/Y.png[/img]\n[img=119]res://textures/icons/Y.png[/img]\n</v>
      </c>
      <c r="V139" s="4" t="str">
        <f>IFERROR(__xludf.DUMMYFUNCTION("SUBSTITUTE(SUBSTITUTE(SUBSTITUTE(SUBSTITUTE(REGEXREPLACE(SUBSTITUTE(SUBSTITUTE(SUBSTITUTE(SUBSTITUTE(REGEXREPLACE(I139, ""(\[([ROYGBPTQUXZC_]|1?[0-9])\])"", ""[img=45]res://textures/icons/$2.png[/img]""),""--"",""—""),""-&gt;"",""•""),""~@"", CONCATENATE(""["&amp;"i]"",REGEXEXTRACT(B139,""^([\s\S]*),|$""),""[/i]"")),""~"", CONCATENATE(""[i]"",B139,""[/i]"")),""(\([\s\S]*?\))"",""[i][color=#34343A]$0[/color][/i]""), ""&lt;"", ""[""), ""&gt;"", ""]""), ""[/p][p]"", ""[font_size=15]\n\n[/font_size]""), ""[br/]"", ""\n"")"),"[center][u]Airdrop[/u] [i][color=#34343A](It enters the battlefield as soon as it resolves.)[/color][/i], [u]Flying[/u] [i][color=#34343A]([i]Ground Deployment Drop Ship[/i] can only be intercepted by assets with ranged or flying. If [i]Ground Deployment "&amp;"Drop Ship[/i] is intercepting you may choose another combatant or commander you control, that is not also intercepting, to take the damage instead.)[/color][/i], [u]Vehicle[/u][/center]")</f>
        <v xml:space="preserve">[center][u]Airdrop[/u] [i][color=#34343A](It enters the battlefield as soon as it resolves.)[/color][/i], [u]Flying[/u] [i][color=#34343A]([i]Ground Deployment Drop Ship[/i] can only be intercepted by assets with ranged or flying. If [i]Ground Deployment Drop Ship[/i] is intercepting you may choose another combatant or commander you control, that is not also intercepting, to take the damage instead.)[/color][/i], [u]Vehicle[/u][/center]</v>
      </c>
      <c r="W139" s="4" t="str">
        <f t="shared" si="9"/>
        <v>[i]Asset[/i]</v>
      </c>
      <c r="X139" s="4" t="str">
        <f t="shared" si="10"/>
        <v>RT_YC_007</v>
      </c>
    </row>
    <row r="140" outlineLevel="1">
      <c r="A140" s="1" t="s">
        <v>571</v>
      </c>
      <c r="B140" s="1" t="s">
        <v>572</v>
      </c>
      <c r="C140" s="2" t="s">
        <v>483</v>
      </c>
      <c r="D140" s="6" t="str">
        <f>IFERROR(__xludf.DUMMYFUNCTION("IF(EQ(A140,B140),"""",SWITCH(IF(T140="""",0,COUNTA(SPLIT(T140,"" ""))),0,""Generic"",1,TRIM(T140),2,""Multicolor"",3,""Multicolor"",4,""Multicolor"",5,""Multicolor"",6,""Multicolor"",7,""Multicolor"",8,""Multicolor""))"),"Yellow")</f>
        <v>Yellow</v>
      </c>
      <c r="E140" s="1" t="s">
        <v>51</v>
      </c>
      <c r="F140" s="1" t="s">
        <v>26</v>
      </c>
      <c r="G140" s="1" t="s">
        <v>523</v>
      </c>
      <c r="H140" s="2" t="s">
        <v>50</v>
      </c>
      <c r="I140" s="3" t="s">
        <v>573</v>
      </c>
      <c r="J140" s="3"/>
      <c r="K140" s="1">
        <v>4</v>
      </c>
      <c r="L140" s="1">
        <v>4</v>
      </c>
      <c r="O140" s="3"/>
      <c r="Q140" s="1">
        <v>45</v>
      </c>
      <c r="R140" s="1">
        <v>35</v>
      </c>
      <c r="S140" s="4" t="str">
        <f t="shared" si="8"/>
        <v>True</v>
      </c>
      <c r="T140" s="4" t="str">
        <f>IFERROR(__xludf.DUMMYFUNCTION("CONCATENATE(if(REGEXMATCH(C140,""R""),"" Red"",""""),if(REGEXMATCH(C140,""O""),"" Orange"",""""),if(REGEXMATCH(C140,""Y""),"" Yellow"",""""),if(REGEXMATCH(C140,""G""),"" Green"",""""),if(REGEXMATCH(C140,""B""),"" Blue"",""""),if(REGEXMATCH(C140,""P""),"" "&amp;"Purple"",""""))")," Yellow")</f>
        <v>Yellow</v>
      </c>
      <c r="U140" s="4" t="str">
        <f>IFERROR(__xludf.DUMMYFUNCTION("TRIM(CONCAT(""[right]"", REGEXREPLACE(C140, ""([ROYGBPXZC_]|1?[0-9])"", ""[img=119]res://textures/icons/$0.png[/img]\\n"")))"),"[right][img=119]res://textures/icons/1.png[/img]\n[img=119]res://textures/icons/Y.png[/img]\n")</f>
        <v>[right][img=119]res://textures/icons/1.png[/img]\n[img=119]res://textures/icons/Y.png[/img]\n</v>
      </c>
      <c r="V140" s="4" t="str">
        <f>IFERROR(__xludf.DUMMYFUNCTION("SUBSTITUTE(SUBSTITUTE(SUBSTITUTE(SUBSTITUTE(REGEXREPLACE(SUBSTITUTE(SUBSTITUTE(SUBSTITUTE(SUBSTITUTE(REGEXREPLACE(I140, ""(\[([ROYGBPTQUXZC_]|1?[0-9])\])"", ""[img=45]res://textures/icons/$2.png[/img]""),""--"",""—""),""-&gt;"",""•""),""~@"", CONCATENATE(""["&amp;"i]"",REGEXEXTRACT(B140,""^([\s\S]*),|$""),""[/i]"")),""~"", CONCATENATE(""[i]"",B140,""[/i]"")),""(\([\s\S]*?\))"",""[i][color=#34343A]$0[/color][/i]""), ""&lt;"", ""[""), ""&gt;"", ""]""), ""[/p][p]"", ""[font_size=15]\n\n[/font_size]""), ""[br/]"", ""\n"")"),"[center][u]Spacecraft[/u] [i][color=#34343A]([i]Miner with Unstable Rockets[/i] can only intercept or be intercepted by assets with spacecraft.)[/color][/i][/center][p]Whenever [i]Miner with Unstable Rockets[/i] attacks, you have a 50% chance to discard a"&amp;" card at random.[/p]")</f>
        <v xml:space="preserve">[center][u]Spacecraft[/u] [i][color=#34343A]([i]Miner with Unstable Rockets[/i] can only intercept or be intercepted by assets with spacecraft.)[/color][/i][/center][p]Whenever [i]Miner with Unstable Rockets[/i] attacks, you have a 50% chance to discard a card at random.[/p]</v>
      </c>
      <c r="W140" s="4" t="str">
        <f t="shared" si="9"/>
        <v>[i]Asset[/i]</v>
      </c>
      <c r="X140" s="4" t="str">
        <f t="shared" si="10"/>
        <v>RT_YC_008</v>
      </c>
    </row>
    <row r="141" outlineLevel="1">
      <c r="A141" s="1" t="s">
        <v>574</v>
      </c>
      <c r="B141" s="1" t="s">
        <v>575</v>
      </c>
      <c r="C141" s="2" t="s">
        <v>512</v>
      </c>
      <c r="D141" s="6" t="str">
        <f>IFERROR(__xludf.DUMMYFUNCTION("IF(EQ(A141,B141),"""",SWITCH(IF(T141="""",0,COUNTA(SPLIT(T141,"" ""))),0,""Generic"",1,TRIM(T141),2,""Multicolor"",3,""Multicolor"",4,""Multicolor"",5,""Multicolor"",6,""Multicolor"",7,""Multicolor"",8,""Multicolor""))"),"Yellow")</f>
        <v>Yellow</v>
      </c>
      <c r="E141" s="1" t="s">
        <v>51</v>
      </c>
      <c r="F141" s="1" t="s">
        <v>26</v>
      </c>
      <c r="G141" s="1" t="s">
        <v>576</v>
      </c>
      <c r="H141" s="2" t="s">
        <v>32</v>
      </c>
      <c r="I141" s="3" t="s">
        <v>577</v>
      </c>
      <c r="J141" s="3"/>
      <c r="K141" s="1">
        <v>3</v>
      </c>
      <c r="L141" s="1">
        <v>2</v>
      </c>
      <c r="O141" s="3"/>
      <c r="Q141" s="1">
        <v>50</v>
      </c>
      <c r="R141" s="1">
        <v>35</v>
      </c>
      <c r="S141" s="4" t="str">
        <f t="shared" si="8"/>
        <v>True</v>
      </c>
      <c r="T141" s="4" t="str">
        <f>IFERROR(__xludf.DUMMYFUNCTION("CONCATENATE(if(REGEXMATCH(C141,""R""),"" Red"",""""),if(REGEXMATCH(C141,""O""),"" Orange"",""""),if(REGEXMATCH(C141,""Y""),"" Yellow"",""""),if(REGEXMATCH(C141,""G""),"" Green"",""""),if(REGEXMATCH(C141,""B""),"" Blue"",""""),if(REGEXMATCH(C141,""P""),"" "&amp;"Purple"",""""))")," Yellow")</f>
        <v>Yellow</v>
      </c>
      <c r="U141" s="4" t="str">
        <f>IFERROR(__xludf.DUMMYFUNCTION("TRIM(CONCAT(""[right]"", REGEXREPLACE(C141, ""([ROYGBPXZC_]|1?[0-9])"", ""[img=119]res://textures/icons/$0.png[/img]\\n"")))"),"[right][img=119]res://textures/icons/2.png[/img]\n[img=119]res://textures/icons/Y.png[/img]\n[img=119]res://textures/icons/Y.png[/img]\n")</f>
        <v>[right][img=119]res://textures/icons/2.png[/img]\n[img=119]res://textures/icons/Y.png[/img]\n[img=119]res://textures/icons/Y.png[/img]\n</v>
      </c>
      <c r="V141" s="4" t="str">
        <f>IFERROR(__xludf.DUMMYFUNCTION("SUBSTITUTE(SUBSTITUTE(SUBSTITUTE(SUBSTITUTE(REGEXREPLACE(SUBSTITUTE(SUBSTITUTE(SUBSTITUTE(SUBSTITUTE(REGEXREPLACE(I141, ""(\[([ROYGBPTQUXZC_]|1?[0-9])\])"", ""[img=45]res://textures/icons/$2.png[/img]""),""--"",""—""),""-&gt;"",""•""),""~@"", CONCATENATE(""["&amp;"i]"",REGEXEXTRACT(B141,""^([\s\S]*),|$""),""[/i]"")),""~"", CONCATENATE(""[i]"",B141,""[/i]"")),""(\([\s\S]*?\))"",""[i][color=#34343A]$0[/color][/i]""), ""&lt;"", ""[""), ""&gt;"", ""]""), ""[/p][p]"", ""[font_size=15]\n\n[/font_size]""), ""[br/]"", ""\n"")"),"If an opponent's commander would lose loyalty outside of combat, it loses that much loyalty +1 instead.")</f>
        <v xml:space="preserve">If an opponent's commander would lose loyalty outside of combat, it loses that much loyalty +1 instead.</v>
      </c>
      <c r="W141" s="4" t="str">
        <f t="shared" si="9"/>
        <v>[i]Asset[/i]</v>
      </c>
      <c r="X141" s="4" t="str">
        <f t="shared" si="10"/>
        <v>RT_YC_009</v>
      </c>
    </row>
    <row r="142" outlineLevel="1">
      <c r="A142" s="1" t="s">
        <v>578</v>
      </c>
      <c r="B142" s="1" t="s">
        <v>579</v>
      </c>
      <c r="C142" s="2" t="s">
        <v>512</v>
      </c>
      <c r="D142" s="6" t="str">
        <f>IFERROR(__xludf.DUMMYFUNCTION("IF(EQ(A142,B142),"""",SWITCH(IF(T142="""",0,COUNTA(SPLIT(T142,"" ""))),0,""Generic"",1,TRIM(T142),2,""Multicolor"",3,""Multicolor"",4,""Multicolor"",5,""Multicolor"",6,""Multicolor"",7,""Multicolor"",8,""Multicolor""))"),"Yellow")</f>
        <v>Yellow</v>
      </c>
      <c r="E142" s="1" t="s">
        <v>51</v>
      </c>
      <c r="F142" s="1" t="s">
        <v>26</v>
      </c>
      <c r="G142" s="1" t="s">
        <v>580</v>
      </c>
      <c r="H142" s="2" t="s">
        <v>44</v>
      </c>
      <c r="I142" s="3" t="s">
        <v>581</v>
      </c>
      <c r="J142" s="3"/>
      <c r="K142" s="1">
        <v>4</v>
      </c>
      <c r="L142" s="1">
        <v>4</v>
      </c>
      <c r="O142" s="3"/>
      <c r="Q142" s="1">
        <v>60</v>
      </c>
      <c r="R142" s="1">
        <v>35</v>
      </c>
      <c r="S142" s="4" t="str">
        <f t="shared" si="8"/>
        <v>True</v>
      </c>
      <c r="T142" s="4" t="str">
        <f>IFERROR(__xludf.DUMMYFUNCTION("CONCATENATE(if(REGEXMATCH(C142,""R""),"" Red"",""""),if(REGEXMATCH(C142,""O""),"" Orange"",""""),if(REGEXMATCH(C142,""Y""),"" Yellow"",""""),if(REGEXMATCH(C142,""G""),"" Green"",""""),if(REGEXMATCH(C142,""B""),"" Blue"",""""),if(REGEXMATCH(C142,""P""),"" "&amp;"Purple"",""""))")," Yellow")</f>
        <v>Yellow</v>
      </c>
      <c r="U142" s="4" t="str">
        <f>IFERROR(__xludf.DUMMYFUNCTION("TRIM(CONCAT(""[right]"", REGEXREPLACE(C142, ""([ROYGBPXZC_]|1?[0-9])"", ""[img=119]res://textures/icons/$0.png[/img]\\n"")))"),"[right][img=119]res://textures/icons/2.png[/img]\n[img=119]res://textures/icons/Y.png[/img]\n[img=119]res://textures/icons/Y.png[/img]\n")</f>
        <v>[right][img=119]res://textures/icons/2.png[/img]\n[img=119]res://textures/icons/Y.png[/img]\n[img=119]res://textures/icons/Y.png[/img]\n</v>
      </c>
      <c r="V142" s="4" t="str">
        <f>IFERROR(__xludf.DUMMYFUNCTION("SUBSTITUTE(SUBSTITUTE(SUBSTITUTE(SUBSTITUTE(REGEXREPLACE(SUBSTITUTE(SUBSTITUTE(SUBSTITUTE(SUBSTITUTE(REGEXREPLACE(I142, ""(\[([ROYGBPTQUXZC_]|1?[0-9])\])"", ""[img=45]res://textures/icons/$2.png[/img]""),""--"",""—""),""-&gt;"",""•""),""~@"", CONCATENATE(""["&amp;"i]"",REGEXEXTRACT(B142,""^([\s\S]*),|$""),""[/i]"")),""~"", CONCATENATE(""[i]"",B142,""[/i]"")),""(\([\s\S]*?\))"",""[i][color=#34343A]$0[/color][/i]""), ""&lt;"", ""[""), ""&gt;"", ""]""), ""[/p][p]"", ""[font_size=15]\n\n[/font_size]""), ""[br/]"", ""\n"")"),"[center][u]Tradeable[/u] [i][color=#34343A](Once each turn, you may pay [i]Prototype Exosuit[/i]'s cost, if you do choose another asset; attach [i]Prototype Exosuit[/i] to it.)[/color][/i][/center][p]Whenever [i]Prototype Exosuit[/i] or the attached comba"&amp;"tant attacks, there is a 50% chance for its attack power and health to be modified +3/-3 and a 50% chance for them to modified -3/+3.[/p]")</f>
        <v xml:space="preserve">[center][u]Tradeable[/u] [i][color=#34343A](Once each turn, you may pay [i]Prototype Exosuit[/i]'s cost, if you do choose another asset; attach [i]Prototype Exosuit[/i] to it.)[/color][/i][/center][p]Whenever [i]Prototype Exosuit[/i] or the attached combatant attacks, there is a 50% chance for its attack power and health to be modified +3/-3 and a 50% chance for them to modified -3/+3.[/p]</v>
      </c>
      <c r="W142" s="4" t="str">
        <f t="shared" si="9"/>
        <v>[i]Asset[/i]</v>
      </c>
      <c r="X142" s="4" t="str">
        <f t="shared" si="10"/>
        <v>RT_YC_010</v>
      </c>
    </row>
    <row r="143" outlineLevel="1">
      <c r="A143" s="1" t="s">
        <v>582</v>
      </c>
      <c r="B143" s="1" t="s">
        <v>583</v>
      </c>
      <c r="C143" s="2" t="s">
        <v>483</v>
      </c>
      <c r="D143" s="6" t="str">
        <f>IFERROR(__xludf.DUMMYFUNCTION("IF(EQ(A143,B143),"""",SWITCH(IF(T143="""",0,COUNTA(SPLIT(T143,"" ""))),0,""Generic"",1,TRIM(T143),2,""Multicolor"",3,""Multicolor"",4,""Multicolor"",5,""Multicolor"",6,""Multicolor"",7,""Multicolor"",8,""Multicolor""))"),"Yellow")</f>
        <v>Yellow</v>
      </c>
      <c r="E143" s="1" t="s">
        <v>51</v>
      </c>
      <c r="F143" s="1" t="s">
        <v>26</v>
      </c>
      <c r="G143" s="1" t="s">
        <v>564</v>
      </c>
      <c r="H143" s="2" t="s">
        <v>32</v>
      </c>
      <c r="I143" s="11" t="s">
        <v>584</v>
      </c>
      <c r="J143" s="3" t="s">
        <v>585</v>
      </c>
      <c r="K143" s="1">
        <v>0</v>
      </c>
      <c r="L143" s="1">
        <v>4</v>
      </c>
      <c r="O143" s="3"/>
      <c r="Q143" s="1">
        <v>60</v>
      </c>
      <c r="R143" s="1">
        <v>40</v>
      </c>
      <c r="S143" s="4" t="str">
        <f t="shared" si="8"/>
        <v>True</v>
      </c>
      <c r="T143" s="4" t="str">
        <f>IFERROR(__xludf.DUMMYFUNCTION("CONCATENATE(if(REGEXMATCH(C143,""R""),"" Red"",""""),if(REGEXMATCH(C143,""O""),"" Orange"",""""),if(REGEXMATCH(C143,""Y""),"" Yellow"",""""),if(REGEXMATCH(C143,""G""),"" Green"",""""),if(REGEXMATCH(C143,""B""),"" Blue"",""""),if(REGEXMATCH(C143,""P""),"" "&amp;"Purple"",""""))")," Yellow")</f>
        <v>Yellow</v>
      </c>
      <c r="U143" s="4" t="str">
        <f>IFERROR(__xludf.DUMMYFUNCTION("TRIM(CONCAT(""[right]"", REGEXREPLACE(C143, ""([ROYGBPXZC_]|1?[0-9])"", ""[img=119]res://textures/icons/$0.png[/img]\\n"")))"),"[right][img=119]res://textures/icons/1.png[/img]\n[img=119]res://textures/icons/Y.png[/img]\n")</f>
        <v>[right][img=119]res://textures/icons/1.png[/img]\n[img=119]res://textures/icons/Y.png[/img]\n</v>
      </c>
      <c r="V143" s="4" t="str">
        <f>IFERROR(__xludf.DUMMYFUNCTION("SUBSTITUTE(SUBSTITUTE(SUBSTITUTE(SUBSTITUTE(REGEXREPLACE(SUBSTITUTE(SUBSTITUTE(SUBSTITUTE(SUBSTITUTE(REGEXREPLACE(I143, ""(\[([ROYGBPTQUXZC_]|1?[0-9])\])"", ""[img=45]res://textures/icons/$2.png[/img]""),""--"",""—""),""-&gt;"",""•""),""~@"", CONCATENATE(""["&amp;"i]"",REGEXEXTRACT(B143,""^([\s\S]*),|$""),""[/i]"")),""~"", CONCATENATE(""[i]"",B143,""[/i]"")),""(\([\s\S]*?\))"",""[i][color=#34343A]$0[/color][/i]""), ""&lt;"", ""[""), ""&gt;"", ""]""), ""[/p][p]"", ""[font_size=15]\n\n[/font_size]""), ""[br/]"", ""\n"")"),"[center][u]Spacecraft[/u] [i][color=#34343A]([i]Space Tether[/i] can only intercept or be intercepted by assets with spacecraft.)[/color][/i][/center][p][img=45]res://textures/icons/T.png[/img]: Choose a card on the battlefield, set it aside then return i"&amp;"t to the battlefield at the end of the turn.[/p]")</f>
        <v xml:space="preserve">[center][u]Spacecraft[/u] [i][color=#34343A]([i]Space Tether[/i] can only intercept or be intercepted by assets with spacecraft.)[/color][/i][/center][p][img=45]res://textures/icons/T.png[/img]: Choose a card on the battlefield, set it aside then return it to the battlefield at the end of the turn.[/p]</v>
      </c>
      <c r="W143" s="4" t="str">
        <f t="shared" si="9"/>
        <v>[i]Asset[/i]</v>
      </c>
      <c r="X143" s="4" t="str">
        <f t="shared" si="10"/>
        <v>RT_YC_011</v>
      </c>
    </row>
    <row r="144">
      <c r="A144" s="1" t="s">
        <v>586</v>
      </c>
      <c r="B144" s="1" t="s">
        <v>587</v>
      </c>
      <c r="C144" s="2" t="s">
        <v>473</v>
      </c>
      <c r="D144" s="6" t="str">
        <f>IFERROR(__xludf.DUMMYFUNCTION("IF(EQ(A144,B144),"""",SWITCH(IF(T144="""",0,COUNTA(SPLIT(T144,"" ""))),0,""Generic"",1,TRIM(T144),2,""Multicolor"",3,""Multicolor"",4,""Multicolor"",5,""Multicolor"",6,""Multicolor"",7,""Multicolor"",8,""Multicolor""))"),"Yellow")</f>
        <v>Yellow</v>
      </c>
      <c r="E144" s="1" t="s">
        <v>79</v>
      </c>
      <c r="F144" s="1" t="s">
        <v>26</v>
      </c>
      <c r="G144" s="1" t="s">
        <v>588</v>
      </c>
      <c r="H144" s="2" t="s">
        <v>134</v>
      </c>
      <c r="I144" s="11" t="s">
        <v>589</v>
      </c>
      <c r="J144" s="3"/>
      <c r="K144" s="1">
        <v>3</v>
      </c>
      <c r="L144" s="1">
        <v>3</v>
      </c>
      <c r="O144" s="3"/>
      <c r="Q144" s="1">
        <v>60</v>
      </c>
      <c r="R144" s="1">
        <v>50</v>
      </c>
      <c r="S144" s="4" t="str">
        <f t="shared" si="8"/>
        <v>True</v>
      </c>
      <c r="T144" s="4" t="str">
        <f>IFERROR(__xludf.DUMMYFUNCTION("CONCATENATE(if(REGEXMATCH(C144,""R""),"" Red"",""""),if(REGEXMATCH(C144,""O""),"" Orange"",""""),if(REGEXMATCH(C144,""Y""),"" Yellow"",""""),if(REGEXMATCH(C144,""G""),"" Green"",""""),if(REGEXMATCH(C144,""B""),"" Blue"",""""),if(REGEXMATCH(C144,""P""),"" "&amp;"Purple"",""""))")," Yellow")</f>
        <v>Yellow</v>
      </c>
      <c r="U144" s="4" t="str">
        <f>IFERROR(__xludf.DUMMYFUNCTION("TRIM(CONCAT(""[right]"", REGEXREPLACE(C144, ""([ROYGBPXZC_]|1?[0-9])"", ""[img=119]res://textures/icons/$0.png[/img]\\n"")))"),"[right][img=119]res://textures/icons/3.png[/img]\n[img=119]res://textures/icons/Y.png[/img]\n[img=119]res://textures/icons/Y.png[/img]\n")</f>
        <v>[right][img=119]res://textures/icons/3.png[/img]\n[img=119]res://textures/icons/Y.png[/img]\n[img=119]res://textures/icons/Y.png[/img]\n</v>
      </c>
      <c r="V144" s="4" t="str">
        <f>IFERROR(__xludf.DUMMYFUNCTION("SUBSTITUTE(SUBSTITUTE(SUBSTITUTE(SUBSTITUTE(REGEXREPLACE(SUBSTITUTE(SUBSTITUTE(SUBSTITUTE(SUBSTITUTE(REGEXREPLACE(I144, ""(\[([ROYGBPTQUXZC_]|1?[0-9])\])"", ""[img=45]res://textures/icons/$2.png[/img]""),""--"",""—""),""-&gt;"",""•""),""~@"", CONCATENATE(""["&amp;"i]"",REGEXEXTRACT(B144,""^([\s\S]*),|$""),""[/i]"")),""~"", CONCATENATE(""[i]"",B144,""[/i]"")),""(\([\s\S]*?\))"",""[i][color=#34343A]$0[/color][/i]""), ""&lt;"", ""[""), ""&gt;"", ""]""), ""[/p][p]"", ""[font_size=15]\n\n[/font_size]""), ""[br/]"", ""\n"")"),"[center][u]Airdrop[/u] [i][color=#34343A](It enters the battlefield as soon as it resolves.)[/color][/i], [u]Response[/u] [i][color=#34343A]([i]EDV[/i] can be deployed during response phases.)[/color][/i], [u]Vehicle[/u][/center]")</f>
        <v xml:space="preserve">[center][u]Airdrop[/u] [i][color=#34343A](It enters the battlefield as soon as it resolves.)[/color][/i], [u]Response[/u] [i][color=#34343A]([i]EDV[/i] can be deployed during response phases.)[/color][/i], [u]Vehicle[/u][/center]</v>
      </c>
      <c r="W144" s="4" t="str">
        <f t="shared" si="9"/>
        <v>[i]Asset[/i]</v>
      </c>
      <c r="X144" s="4" t="str">
        <f t="shared" si="10"/>
        <v>RT_YC_012</v>
      </c>
    </row>
    <row r="145" outlineLevel="1">
      <c r="A145" s="1" t="s">
        <v>590</v>
      </c>
      <c r="B145" s="1" t="s">
        <v>591</v>
      </c>
      <c r="C145" s="2" t="s">
        <v>488</v>
      </c>
      <c r="D145" s="6" t="str">
        <f>IFERROR(__xludf.DUMMYFUNCTION("IF(EQ(A145,B145),"""",SWITCH(IF(T145="""",0,COUNTA(SPLIT(T145,"" ""))),0,""Generic"",1,TRIM(T145),2,""Multicolor"",3,""Multicolor"",4,""Multicolor"",5,""Multicolor"",6,""Multicolor"",7,""Multicolor"",8,""Multicolor""))"),"Yellow")</f>
        <v>Yellow</v>
      </c>
      <c r="E145" s="1" t="s">
        <v>51</v>
      </c>
      <c r="F145" s="1" t="s">
        <v>73</v>
      </c>
      <c r="G145" s="1" t="s">
        <v>592</v>
      </c>
      <c r="H145" s="2" t="s">
        <v>129</v>
      </c>
      <c r="I145" s="3" t="s">
        <v>593</v>
      </c>
      <c r="J145" s="3" t="s">
        <v>594</v>
      </c>
      <c r="K145" s="1">
        <v>4</v>
      </c>
      <c r="L145" s="1">
        <v>6</v>
      </c>
      <c r="O145" s="3" t="s">
        <v>595</v>
      </c>
      <c r="Q145" s="1">
        <v>45</v>
      </c>
      <c r="R145" s="1">
        <v>35</v>
      </c>
      <c r="S145" s="4" t="str">
        <f t="shared" si="8"/>
        <v>True</v>
      </c>
      <c r="T145" s="4" t="str">
        <f>IFERROR(__xludf.DUMMYFUNCTION("CONCATENATE(if(REGEXMATCH(C145,""R""),"" Red"",""""),if(REGEXMATCH(C145,""O""),"" Orange"",""""),if(REGEXMATCH(C145,""Y""),"" Yellow"",""""),if(REGEXMATCH(C145,""G""),"" Green"",""""),if(REGEXMATCH(C145,""B""),"" Blue"",""""),if(REGEXMATCH(C145,""P""),"" "&amp;"Purple"",""""))")," Yellow")</f>
        <v>Yellow</v>
      </c>
      <c r="U145" s="4" t="str">
        <f>IFERROR(__xludf.DUMMYFUNCTION("TRIM(CONCAT(""[right]"", REGEXREPLACE(C145, ""([ROYGBPXZC_]|1?[0-9])"", ""[img=119]res://textures/icons/$0.png[/img]\\n"")))"),"[right][img=119]res://textures/icons/1.png[/img]\n[img=119]res://textures/icons/Y.png[/img]\n[img=119]res://textures/icons/Y.png[/img]\n")</f>
        <v>[right][img=119]res://textures/icons/1.png[/img]\n[img=119]res://textures/icons/Y.png[/img]\n[img=119]res://textures/icons/Y.png[/img]\n</v>
      </c>
      <c r="V145" s="4" t="str">
        <f>IFERROR(__xludf.DUMMYFUNCTION("SUBSTITUTE(SUBSTITUTE(SUBSTITUTE(SUBSTITUTE(REGEXREPLACE(SUBSTITUTE(SUBSTITUTE(SUBSTITUTE(SUBSTITUTE(REGEXREPLACE(I145, ""(\[([ROYGBPTQUXZC_]|1?[0-9])\])"", ""[img=45]res://textures/icons/$2.png[/img]""),""--"",""—""),""-&gt;"",""•""),""~@"", CONCATENATE(""["&amp;"i]"",REGEXEXTRACT(B145,""^([\s\S]*),|$""),""[/i]"")),""~"", CONCATENATE(""[i]"",B145,""[/i]"")),""(\([\s\S]*?\))"",""[i][color=#34343A]$0[/color][/i]""), ""&lt;"", ""[""), ""&gt;"", ""]""), ""[/p][p]"", ""[font_size=15]\n\n[/font_size]""), ""[br/]"", ""\n"")"),"[center][i][color=#34343A](Becomes [i]'Quinton's Call to Action'[/i] if you already control [i]Quinton Anon[/i].)[/color][/i]\n[u]Warrant[/u][/center][p][b][i]As Commander[/i] —[/b] Combatants you control have [u]mob[/u] [i][color=#34343A](You may assign "&amp;"any number of mob combatants you control to a unit. Any number of your opponent's combatants may intercept these units. You, not your opponent, choose how combat damage is divided among the intercepted and intercepting mob units you control.)[/color][/i]["&amp;"font_size=15]\n\n[/font_size][b][i]As Asset[/i] —[/b] Mobs you control have +2/+2.[/p]")</f>
        <v xml:space="preserve">[center][i][color=#34343A](Becomes [i]'Quinton's Call to Action'[/i] if you already control [i]Quinton Anon[/i].)[/color][/i]\n[u]Warrant[/u][/center][p][b][i]As Commander[/i] —[/b] Combatants you control have [u]mob[/u] [i][color=#34343A](You may assign any number of mob combatants you control to a unit. Any number of your opponent's combatants may intercept these units. You, not your opponent, choose how combat damage is divided among the intercepted and intercepting mob units you control.)[/color][/i][font_size=15]\n\n[/font_size][b][i]As Asset[/i] —[/b] Mobs you control have +2/+2.[/p]</v>
      </c>
      <c r="W145" s="4" t="str">
        <f t="shared" si="9"/>
        <v>[i]Commander[/i]</v>
      </c>
      <c r="X145" s="4" t="str">
        <f t="shared" si="10"/>
        <v>RT_Y_CMDR_2</v>
      </c>
    </row>
    <row r="146" outlineLevel="1">
      <c r="A146" s="1" t="s">
        <v>596</v>
      </c>
      <c r="B146" s="1" t="s">
        <v>597</v>
      </c>
      <c r="C146" s="14" t="s">
        <v>507</v>
      </c>
      <c r="D146" s="6" t="str">
        <f>IFERROR(__xludf.DUMMYFUNCTION("IF(EQ(A146,B146),"""",SWITCH(IF(T146="""",0,COUNTA(SPLIT(T146,"" ""))),0,""Generic"",1,TRIM(T146),2,""Multicolor"",3,""Multicolor"",4,""Multicolor"",5,""Multicolor"",6,""Multicolor"",7,""Multicolor"",8,""Multicolor""))"),"Yellow")</f>
        <v>Yellow</v>
      </c>
      <c r="E146" s="1"/>
      <c r="F146" s="1" t="s">
        <v>87</v>
      </c>
      <c r="G146" s="1" t="s">
        <v>88</v>
      </c>
      <c r="H146" s="2" t="s">
        <v>25</v>
      </c>
      <c r="I146" s="3" t="s">
        <v>598</v>
      </c>
      <c r="J146" s="3"/>
      <c r="K146" s="1"/>
      <c r="L146" s="1"/>
      <c r="O146" s="3"/>
      <c r="Q146" s="1">
        <v>45</v>
      </c>
      <c r="R146" s="1">
        <v>50</v>
      </c>
      <c r="S146" s="4" t="str">
        <f t="shared" si="8"/>
        <v>False</v>
      </c>
      <c r="T146" s="4" t="str">
        <f>IFERROR(__xludf.DUMMYFUNCTION("CONCATENATE(if(REGEXMATCH(C146,""R""),"" Red"",""""),if(REGEXMATCH(C146,""O""),"" Orange"",""""),if(REGEXMATCH(C146,""Y""),"" Yellow"",""""),if(REGEXMATCH(C146,""G""),"" Green"",""""),if(REGEXMATCH(C146,""B""),"" Blue"",""""),if(REGEXMATCH(C146,""P""),"" "&amp;"Purple"",""""))")," Yellow")</f>
        <v>Yellow</v>
      </c>
      <c r="U146" s="4" t="str">
        <f>IFERROR(__xludf.DUMMYFUNCTION("TRIM(CONCAT(""[right]"", REGEXREPLACE(C146, ""([ROYGBPXZC_]|1?[0-9])"", ""[img=119]res://textures/icons/$0.png[/img]\\n"")))"),"[right][img=119]res://textures/icons/Y.png[/img]\n")</f>
        <v>[right][img=119]res://textures/icons/Y.png[/img]\n</v>
      </c>
      <c r="V146" s="4" t="str">
        <f>IFERROR(__xludf.DUMMYFUNCTION("SUBSTITUTE(SUBSTITUTE(SUBSTITUTE(SUBSTITUTE(REGEXREPLACE(SUBSTITUTE(SUBSTITUTE(SUBSTITUTE(SUBSTITUTE(REGEXREPLACE(I146, ""(\[([ROYGBPTQUXZC_]|1?[0-9])\])"", ""[img=45]res://textures/icons/$2.png[/img]""),""--"",""—""),""-&gt;"",""•""),""~@"", CONCATENATE(""["&amp;"i]"",REGEXEXTRACT(B146,""^([\s\S]*),|$""),""[/i]"")),""~"", CONCATENATE(""[i]"",B146,""[/i]"")),""(\([\s\S]*?\))"",""[i][color=#34343A]$0[/color][/i]""), ""&lt;"", ""[""), ""&gt;"", ""]""), ""[/p][p]"", ""[font_size=15]\n\n[/font_size]""), ""[br/]"", ""\n"")"),"[center][i][color=#34343A](This effect can only be deployed if you control a renowned asset. Banked energy can't be spent to deploy renowned cards.)[/color][/i][/center][p]Choose a combatant, it permanently gets +1/+1 and brutal.[font_size=15]\n\n[/font_s"&amp;"ize][u]Personal[/u] (Shuffle [i]'Quinton Anon, The Inciter of Violence'[/i] into your deck.[/p]")</f>
        <v xml:space="preserve">[center][i][color=#34343A](This effect can only be deployed if you control a renowned asset. Banked energy can't be spent to deploy renowned cards.)[/color][/i][/center][p]Choose a combatant, it permanently gets +1/+1 and brutal.[font_size=15]\n\n[/font_size][u]Personal[/u] (Shuffle [i]'Quinton Anon, The Inciter of Violence'[/i] into your deck.[/p]</v>
      </c>
      <c r="W146" s="4" t="str">
        <f t="shared" si="9"/>
        <v xml:space="preserve">[i]R. Effect[/i]</v>
      </c>
      <c r="X146" s="4" t="str">
        <f t="shared" si="10"/>
        <v>RT_Y_CMDR_2b</v>
      </c>
    </row>
    <row r="147" outlineLevel="1">
      <c r="A147" s="1" t="s">
        <v>599</v>
      </c>
      <c r="B147" s="1" t="s">
        <v>600</v>
      </c>
      <c r="C147" s="2" t="s">
        <v>518</v>
      </c>
      <c r="D147" s="6" t="str">
        <f>IFERROR(__xludf.DUMMYFUNCTION("IF(EQ(A147,B147),"""",SWITCH(IF(T147="""",0,COUNTA(SPLIT(T147,"" ""))),0,""Generic"",1,TRIM(T147),2,""Multicolor"",3,""Multicolor"",4,""Multicolor"",5,""Multicolor"",6,""Multicolor"",7,""Multicolor"",8,""Multicolor""))"),"Yellow")</f>
        <v>Yellow</v>
      </c>
      <c r="E147" s="1" t="s">
        <v>51</v>
      </c>
      <c r="F147" s="1" t="s">
        <v>94</v>
      </c>
      <c r="G147" s="1" t="s">
        <v>601</v>
      </c>
      <c r="H147" s="2" t="s">
        <v>81</v>
      </c>
      <c r="I147" s="3" t="s">
        <v>602</v>
      </c>
      <c r="J147" s="3" t="s">
        <v>603</v>
      </c>
      <c r="K147" s="1">
        <v>4</v>
      </c>
      <c r="L147" s="1">
        <v>4</v>
      </c>
      <c r="O147" s="3"/>
      <c r="Q147" s="1">
        <v>45</v>
      </c>
      <c r="R147" s="1">
        <v>35</v>
      </c>
      <c r="S147" s="4" t="str">
        <f t="shared" si="8"/>
        <v>True</v>
      </c>
      <c r="T147" s="4" t="str">
        <f>IFERROR(__xludf.DUMMYFUNCTION("CONCATENATE(if(REGEXMATCH(C147,""R""),"" Red"",""""),if(REGEXMATCH(C147,""O""),"" Orange"",""""),if(REGEXMATCH(C147,""Y""),"" Yellow"",""""),if(REGEXMATCH(C147,""G""),"" Green"",""""),if(REGEXMATCH(C147,""B""),"" Blue"",""""),if(REGEXMATCH(C147,""P""),"" "&amp;"Purple"",""""))")," Yellow")</f>
        <v>Yellow</v>
      </c>
      <c r="U147" s="4" t="str">
        <f>IFERROR(__xludf.DUMMYFUNCTION("TRIM(CONCAT(""[right]"", REGEXREPLACE(C147, ""([ROYGBPXZC_]|1?[0-9])"", ""[img=119]res://textures/icons/$0.png[/img]\\n"")))"),"[right][img=119]res://textures/icons/3.png[/img]\n[img=119]res://textures/icons/Y.png[/img]\n")</f>
        <v>[right][img=119]res://textures/icons/3.png[/img]\n[img=119]res://textures/icons/Y.png[/img]\n</v>
      </c>
      <c r="V147" s="4" t="str">
        <f>IFERROR(__xludf.DUMMYFUNCTION("SUBSTITUTE(SUBSTITUTE(SUBSTITUTE(SUBSTITUTE(REGEXREPLACE(SUBSTITUTE(SUBSTITUTE(SUBSTITUTE(SUBSTITUTE(REGEXREPLACE(I147, ""(\[([ROYGBPTQUXZC_]|1?[0-9])\])"", ""[img=45]res://textures/icons/$2.png[/img]""),""--"",""—""),""-&gt;"",""•""),""~@"", CONCATENATE(""["&amp;"i]"",REGEXEXTRACT(B147,""^([\s\S]*),|$""),""[/i]"")),""~"", CONCATENATE(""[i]"",B147,""[/i]"")),""(\([\s\S]*?\))"",""[i][color=#34343A]$0[/color][/i]""), ""&lt;"", ""[""), ""&gt;"", ""]""), ""[/p][p]"", ""[font_size=15]\n\n[/font_size]""), ""[br/]"", ""\n"")"),"[center][i][color=#34343A](If you obtain another card with the same name as [i]Marina Arigotti, Femme Fatale[/i], you must choose one to keep and another to send to its owner's discard. Banked energy can't be spent to deploy renowned cards. Becomes [i]'Ma"&amp;"rina's Charm'[/i] if you already control [i]Marina Arigotti, Femme Fatale[/i].)[/color][/i][/center][p]When [i]Marina Arigotti[/i] enters the battlefield, choose a human; until she leaves the battlefield, gain control of it.[/p]")</f>
        <v xml:space="preserve">[center][i][color=#34343A](If you obtain another card with the same name as [i]Marina Arigotti, Femme Fatale[/i], you must choose one to keep and another to send to its owner's discard. Banked energy can't be spent to deploy renowned cards. Becomes [i]'Marina's Charm'[/i] if you already control [i]Marina Arigotti, Femme Fatale[/i].)[/color][/i][/center][p]When [i]Marina Arigotti[/i] enters the battlefield, choose a human; until she leaves the battlefield, gain control of it.[/p]</v>
      </c>
      <c r="W147" s="4" t="str">
        <f t="shared" si="9"/>
        <v xml:space="preserve">[i]R. Asset[/i]</v>
      </c>
      <c r="X147" s="4" t="str">
        <f t="shared" si="10"/>
        <v>RT_YR_005</v>
      </c>
    </row>
    <row r="148" outlineLevel="1">
      <c r="A148" s="1" t="s">
        <v>604</v>
      </c>
      <c r="B148" s="4" t="s">
        <v>605</v>
      </c>
      <c r="C148" s="5" t="s">
        <v>507</v>
      </c>
      <c r="D148" s="6" t="str">
        <f>IFERROR(__xludf.DUMMYFUNCTION("IF(EQ(A148,B148),"""",SWITCH(IF(T148="""",0,COUNTA(SPLIT(T148,"" ""))),0,""Generic"",1,TRIM(T148),2,""Multicolor"",3,""Multicolor"",4,""Multicolor"",5,""Multicolor"",6,""Multicolor"",7,""Multicolor"",8,""Multicolor""))"),"Yellow")</f>
        <v>Yellow</v>
      </c>
      <c r="E148" s="4"/>
      <c r="F148" s="4" t="s">
        <v>87</v>
      </c>
      <c r="G148" s="4" t="s">
        <v>203</v>
      </c>
      <c r="H148" s="5" t="s">
        <v>25</v>
      </c>
      <c r="I148" s="11" t="s">
        <v>606</v>
      </c>
      <c r="J148" s="4"/>
      <c r="K148" s="8"/>
      <c r="L148" s="8"/>
      <c r="O148" s="3"/>
      <c r="Q148" s="1">
        <v>60</v>
      </c>
      <c r="R148" s="1">
        <v>45</v>
      </c>
      <c r="S148" s="4" t="str">
        <f t="shared" si="8"/>
        <v>False</v>
      </c>
      <c r="T148" s="4" t="str">
        <f>IFERROR(__xludf.DUMMYFUNCTION("CONCATENATE(if(REGEXMATCH(C148,""R""),"" Red"",""""),if(REGEXMATCH(C148,""O""),"" Orange"",""""),if(REGEXMATCH(C148,""Y""),"" Yellow"",""""),if(REGEXMATCH(C148,""G""),"" Green"",""""),if(REGEXMATCH(C148,""B""),"" Blue"",""""),if(REGEXMATCH(C148,""P""),"" "&amp;"Purple"",""""))")," Yellow")</f>
        <v>Yellow</v>
      </c>
      <c r="U148" s="4" t="str">
        <f>IFERROR(__xludf.DUMMYFUNCTION("TRIM(CONCAT(""[right]"", REGEXREPLACE(C148, ""([ROYGBPXZC_]|1?[0-9])"", ""[img=119]res://textures/icons/$0.png[/img]\\n"")))"),"[right][img=119]res://textures/icons/Y.png[/img]\n")</f>
        <v>[right][img=119]res://textures/icons/Y.png[/img]\n</v>
      </c>
      <c r="V148" s="4" t="str">
        <f>IFERROR(__xludf.DUMMYFUNCTION("SUBSTITUTE(SUBSTITUTE(SUBSTITUTE(SUBSTITUTE(REGEXREPLACE(SUBSTITUTE(SUBSTITUTE(SUBSTITUTE(SUBSTITUTE(REGEXREPLACE(I148, ""(\[([ROYGBPTQUXZC_]|1?[0-9])\])"", ""[img=45]res://textures/icons/$2.png[/img]""),""--"",""—""),""-&gt;"",""•""),""~@"", CONCATENATE(""["&amp;"i]"",REGEXEXTRACT(B148,""^([\s\S]*),|$""),""[/i]"")),""~"", CONCATENATE(""[i]"",B148,""[/i]"")),""(\([\s\S]*?\))"",""[i][color=#34343A]$0[/color][/i]""), ""&lt;"", ""[""), ""&gt;"", ""]""), ""[/p][p]"", ""[font_size=15]\n\n[/font_size]""), ""[br/]"", ""\n"")"),"[center][i][color=#34343A](This effect can only be deployed if you control a renowned asset. Banked energy can't be spent to deploy renowned cards.)[/color][/i][/center][p]Choose a combatant an opponent controls, until end of turn, gain control of it.[fon"&amp;"t_size=15]\n\n[/font_size][u]Personal[/u] [i][color=#34343A](Shuffle [i]'Marina Arrigotti, Femme Fatale'[/i] into your deck.)[/color][/i][/p]")</f>
        <v xml:space="preserve">[center][i][color=#34343A](This effect can only be deployed if you control a renowned asset. Banked energy can't be spent to deploy renowned cards.)[/color][/i][/center][p]Choose a combatant an opponent controls, until end of turn, gain control of it.[font_size=15]\n\n[/font_size][u]Personal[/u] [i][color=#34343A](Shuffle [i]'Marina Arrigotti, Femme Fatale'[/i] into your deck.)[/color][/i][/p]</v>
      </c>
      <c r="W148" s="4" t="str">
        <f t="shared" si="9"/>
        <v xml:space="preserve">[i]R. Effect[/i]</v>
      </c>
      <c r="X148" s="4" t="str">
        <f t="shared" si="10"/>
        <v>RT_YR_005b</v>
      </c>
    </row>
    <row r="149" outlineLevel="1">
      <c r="A149" s="1" t="s">
        <v>607</v>
      </c>
      <c r="B149" s="4" t="s">
        <v>608</v>
      </c>
      <c r="C149" s="5" t="s">
        <v>473</v>
      </c>
      <c r="D149" s="6" t="str">
        <f>IFERROR(__xludf.DUMMYFUNCTION("IF(ISBLANK(A149),"""",SWITCH(IF(T149="""",0,COUNTA(SPLIT(T149,"" ""))),0,""Generic"",1,TRIM(T149),2,""Multicolor"",3,""Multicolor"",4,""Multicolor"",5,""Multicolor"",6,""Multicolor"",7,""Multicolor"",8,""Multicolor""))"),"Yellow")</f>
        <v>Yellow</v>
      </c>
      <c r="E149" s="4" t="s">
        <v>51</v>
      </c>
      <c r="F149" s="4" t="s">
        <v>94</v>
      </c>
      <c r="G149" s="4" t="s">
        <v>609</v>
      </c>
      <c r="H149" s="5" t="s">
        <v>81</v>
      </c>
      <c r="I149" s="7" t="s">
        <v>610</v>
      </c>
      <c r="J149" s="4"/>
      <c r="K149" s="8">
        <v>8</v>
      </c>
      <c r="L149" s="8">
        <v>6</v>
      </c>
      <c r="O149" s="3"/>
      <c r="Q149" s="1">
        <v>60</v>
      </c>
      <c r="R149" s="1">
        <v>35</v>
      </c>
      <c r="S149" s="4" t="str">
        <f t="shared" si="8"/>
        <v>True</v>
      </c>
      <c r="T149" s="4" t="str">
        <f>IFERROR(__xludf.DUMMYFUNCTION("CONCATENATE(if(REGEXMATCH(C149,""R""),"" Red"",""""),if(REGEXMATCH(C149,""O""),"" Orange"",""""),if(REGEXMATCH(C149,""Y""),"" Yellow"",""""),if(REGEXMATCH(C149,""G""),"" Green"",""""),if(REGEXMATCH(C149,""B""),"" Blue"",""""),if(REGEXMATCH(C149,""P""),"" "&amp;"Purple"",""""))")," Yellow")</f>
        <v>Yellow</v>
      </c>
      <c r="U149" s="4" t="str">
        <f>IFERROR(__xludf.DUMMYFUNCTION("TRIM(CONCAT(""[right]"", REGEXREPLACE(C149, ""([ROYGBPXZC_]|1?[0-9])"", ""[img=119]res://textures/icons/$0.png[/img]\\n"")))"),"[right][img=119]res://textures/icons/3.png[/img]\n[img=119]res://textures/icons/Y.png[/img]\n[img=119]res://textures/icons/Y.png[/img]\n")</f>
        <v>[right][img=119]res://textures/icons/3.png[/img]\n[img=119]res://textures/icons/Y.png[/img]\n[img=119]res://textures/icons/Y.png[/img]\n</v>
      </c>
      <c r="V149" s="4" t="str">
        <f>IFERROR(__xludf.DUMMYFUNCTION("SUBSTITUTE(SUBSTITUTE(SUBSTITUTE(SUBSTITUTE(REGEXREPLACE(SUBSTITUTE(SUBSTITUTE(SUBSTITUTE(SUBSTITUTE(REGEXREPLACE(I149, ""(\[([ROYGBPTQUXZC_]|1?[0-9])\])"", ""[img=45]res://textures/icons/$2.png[/img]""),""--"",""—""),""-&gt;"",""•""),""~@"", CONCATENATE(""["&amp;"i]"",REGEXEXTRACT(B149,""^([\s\S]*),|$""),""[/i]"")),""~"", CONCATENATE(""[i]"",B149,""[/i]"")),""(\([\s\S]*?\))"",""[i][color=#34343A]$0[/color][/i]""), ""&lt;"", ""[""), ""&gt;"", ""]""), ""[/p][p]"", ""[font_size=15]\n\n[/font_size]""), ""[br/]"", ""\n"")"),"[center][u]Mob[/u] [i][color=#34343A](You may assign any number of mob combatants you control to a unit. Any number of your opponent's combatants may intercept these units. You, not your opponent, choose how combat damage is divided among the intercepted "&amp;"and intercepting mob units you control.)[/color][/i][/center][p]If an opponent's commander would lose loyalty outside of combat, they loose twice as much loyalty instead.[/p]")</f>
        <v xml:space="preserve">[center][u]Mob[/u] [i][color=#34343A](You may assign any number of mob combatants you control to a unit. Any number of your opponent's combatants may intercept these units. You, not your opponent, choose how combat damage is divided among the intercepted and intercepting mob units you control.)[/color][/i][/center][p]If an opponent's commander would lose loyalty outside of combat, they loose twice as much loyalty instead.[/p]</v>
      </c>
      <c r="W149" s="4" t="str">
        <f t="shared" si="9"/>
        <v xml:space="preserve">[i]R. Asset[/i]</v>
      </c>
      <c r="X149" s="4" t="str">
        <f t="shared" si="10"/>
        <v>RT_YR_006</v>
      </c>
    </row>
    <row r="150" outlineLevel="1">
      <c r="A150" s="1" t="s">
        <v>611</v>
      </c>
      <c r="B150" s="4" t="s">
        <v>612</v>
      </c>
      <c r="C150" s="5" t="s">
        <v>613</v>
      </c>
      <c r="D150" s="6" t="str">
        <f>IFERROR(__xludf.DUMMYFUNCTION("IF(ISBLANK(A150),"""",SWITCH(IF(T150="""",0,COUNTA(SPLIT(T150,"" ""))),0,""Generic"",1,TRIM(T150),2,""Multicolor"",3,""Multicolor"",4,""Multicolor"",5,""Multicolor"",6,""Multicolor"",7,""Multicolor"",8,""Multicolor""))"),"Yellow")</f>
        <v>Yellow</v>
      </c>
      <c r="E150" s="4" t="s">
        <v>51</v>
      </c>
      <c r="F150" s="4" t="s">
        <v>26</v>
      </c>
      <c r="G150" s="4" t="s">
        <v>614</v>
      </c>
      <c r="H150" s="5" t="s">
        <v>81</v>
      </c>
      <c r="I150" s="7" t="s">
        <v>615</v>
      </c>
      <c r="J150" s="4"/>
      <c r="K150" s="8">
        <v>4</v>
      </c>
      <c r="L150" s="8">
        <v>2</v>
      </c>
      <c r="O150" s="3"/>
      <c r="Q150" s="1">
        <v>50</v>
      </c>
      <c r="R150" s="1">
        <v>35</v>
      </c>
      <c r="S150" s="4" t="str">
        <f t="shared" si="8"/>
        <v>True</v>
      </c>
      <c r="T150" s="4" t="str">
        <f>IFERROR(__xludf.DUMMYFUNCTION("CONCATENATE(if(REGEXMATCH(C150,""R""),"" Red"",""""),if(REGEXMATCH(C150,""O""),"" Orange"",""""),if(REGEXMATCH(C150,""Y""),"" Yellow"",""""),if(REGEXMATCH(C150,""G""),"" Green"",""""),if(REGEXMATCH(C150,""B""),"" Blue"",""""),if(REGEXMATCH(C150,""P""),"" "&amp;"Purple"",""""))")," Yellow")</f>
        <v>Yellow</v>
      </c>
      <c r="U150" s="4" t="str">
        <f>IFERROR(__xludf.DUMMYFUNCTION("TRIM(CONCAT(""[right]"", REGEXREPLACE(C150, ""([ROYGBPXZC_]|1?[0-9])"", ""[img=119]res://textures/icons/$0.png[/img]\\n"")))"),"[right][img=119]res://textures/icons/Y.png[/img]\n[img=119]res://textures/icons/Y.png[/img]\n[img=119]res://textures/icons/Y.png[/img]\n")</f>
        <v>[right][img=119]res://textures/icons/Y.png[/img]\n[img=119]res://textures/icons/Y.png[/img]\n[img=119]res://textures/icons/Y.png[/img]\n</v>
      </c>
      <c r="V150" s="4" t="str">
        <f>IFERROR(__xludf.DUMMYFUNCTION("SUBSTITUTE(SUBSTITUTE(SUBSTITUTE(SUBSTITUTE(REGEXREPLACE(SUBSTITUTE(SUBSTITUTE(SUBSTITUTE(SUBSTITUTE(REGEXREPLACE(I150, ""(\[([ROYGBPTQUXZC_]|1?[0-9])\])"", ""[img=45]res://textures/icons/$2.png[/img]""),""--"",""—""),""-&gt;"",""•""),""~@"", CONCATENATE(""["&amp;"i]"",REGEXEXTRACT(B150,""^([\s\S]*),|$""),""[/i]"")),""~"", CONCATENATE(""[i]"",B150,""[/i]"")),""(\([\s\S]*?\))"",""[i][color=#34343A]$0[/color][/i]""), ""&lt;"", ""[""), ""&gt;"", ""]""), ""[/p][p]"", ""[font_size=15]\n\n[/font_size]""), ""[br/]"", ""\n"")"),"When [i]Eccentric Celebrity[/i] enters the battlefield, create a [u]transient[/u] copy of a random Emotion [i][color=#34343A]([img=45]res://textures/icons/Y.png[/img])[/color][/i] effect in your deck with [u]generalized cost[/u] [i][color=#34343A](The cos"&amp;"t of the card if all typed symbols were replaced with generic numbers. E.x. [i]Eccentric Celebrity[/i] has a generalized cost of [img=45]res://textures/icons/3.png[/img].)[/color][/i] [img=45]res://textures/icons/4.png[/img] or less in your hand.")</f>
        <v xml:space="preserve">When [i]Eccentric Celebrity[/i] enters the battlefield, create a [u]transient[/u] copy of a random Emotion [i][color=#34343A]([img=45]res://textures/icons/Y.png[/img])[/color][/i] effect in your deck with [u]generalized cost[/u] [i][color=#34343A](The cost of the card if all typed symbols were replaced with generic numbers. E.x. [i]Eccentric Celebrity[/i] has a generalized cost of [img=45]res://textures/icons/3.png[/img].)[/color][/i] [img=45]res://textures/icons/4.png[/img] or less in your hand.</v>
      </c>
      <c r="W150" s="4" t="str">
        <f t="shared" si="9"/>
        <v>[i]Asset[/i]</v>
      </c>
      <c r="X150" s="4" t="str">
        <f t="shared" si="10"/>
        <v>RT_YR_007</v>
      </c>
    </row>
    <row r="151" outlineLevel="1">
      <c r="A151" s="1" t="s">
        <v>616</v>
      </c>
      <c r="B151" s="1" t="s">
        <v>617</v>
      </c>
      <c r="C151" s="2" t="s">
        <v>618</v>
      </c>
      <c r="D151" s="6" t="str">
        <f>IFERROR(__xludf.DUMMYFUNCTION("IF(ISBLANK(A151),"""",SWITCH(IF(T151="""",0,COUNTA(SPLIT(T151,"" ""))),0,""Generic"",1,TRIM(T151),2,""Multicolor"",3,""Multicolor"",4,""Multicolor"",5,""Multicolor"",6,""Multicolor"",7,""Multicolor"",8,""Multicolor""))"),"Yellow")</f>
        <v>Yellow</v>
      </c>
      <c r="E151" s="1"/>
      <c r="F151" s="1" t="s">
        <v>87</v>
      </c>
      <c r="G151" s="1" t="s">
        <v>619</v>
      </c>
      <c r="H151" s="2" t="s">
        <v>81</v>
      </c>
      <c r="I151" s="3" t="s">
        <v>620</v>
      </c>
      <c r="J151" s="3"/>
      <c r="O151" s="3"/>
      <c r="Q151" s="1">
        <v>60</v>
      </c>
      <c r="R151" s="1">
        <v>50</v>
      </c>
      <c r="S151" s="4" t="str">
        <f t="shared" si="8"/>
        <v>False</v>
      </c>
      <c r="T151" s="4" t="str">
        <f>IFERROR(__xludf.DUMMYFUNCTION("CONCATENATE(if(REGEXMATCH(C151,""R""),"" Red"",""""),if(REGEXMATCH(C151,""O""),"" Orange"",""""),if(REGEXMATCH(C151,""Y""),"" Yellow"",""""),if(REGEXMATCH(C151,""G""),"" Green"",""""),if(REGEXMATCH(C151,""B""),"" Blue"",""""),if(REGEXMATCH(C151,""P""),"" "&amp;"Purple"",""""))")," Yellow")</f>
        <v>Yellow</v>
      </c>
      <c r="U151" s="4" t="str">
        <f>IFERROR(__xludf.DUMMYFUNCTION("TRIM(CONCAT(""[right]"", REGEXREPLACE(C151, ""([ROYGBPXZC_]|1?[0-9])"", ""[img=119]res://textures/icons/$0.png[/img]\\n"")))"),"[right][img=119]res://textures/icons/1.png[/img]\n[img=119]res://textures/icons/Y.png[/img]\n[img=119]res://textures/icons/Y.png[/img]\n[img=119]res://textures/icons/Y.png[/img]\n")</f>
        <v>[right][img=119]res://textures/icons/1.png[/img]\n[img=119]res://textures/icons/Y.png[/img]\n[img=119]res://textures/icons/Y.png[/img]\n[img=119]res://textures/icons/Y.png[/img]\n</v>
      </c>
      <c r="V151" s="4" t="str">
        <f>IFERROR(__xludf.DUMMYFUNCTION("SUBSTITUTE(SUBSTITUTE(SUBSTITUTE(SUBSTITUTE(REGEXREPLACE(SUBSTITUTE(SUBSTITUTE(SUBSTITUTE(SUBSTITUTE(REGEXREPLACE(I151, ""(\[([ROYGBPTQUXZC_]|1?[0-9])\])"", ""[img=45]res://textures/icons/$2.png[/img]""),""--"",""—""),""-&gt;"",""•""),""~@"", CONCATENATE(""["&amp;"i]"",REGEXEXTRACT(B151,""^([\s\S]*),|$""),""[/i]"")),""~"", CONCATENATE(""[i]"",B151,""[/i]"")),""(\([\s\S]*?\))"",""[i][color=#34343A]$0[/color][/i]""), ""&lt;"", ""[""), ""&gt;"", ""]""), ""[/p][p]"", ""[font_size=15]\n\n[/font_size]""), ""[br/]"", ""\n"")"),"[center][i][color=#34343A](This effect can only be deployed if you control a renowned asset. Banked energy can't be spent to deploy renowned cards.)[/color][/i][/center][p]Each asset on the battlefield has a 50% chance of being [u]forfeited[/u] [i][color="&amp;"#34343A](Their owners put the specified assets into their discards.)[/color][/i][/p]")</f>
        <v xml:space="preserve">[center][i][color=#34343A](This effect can only be deployed if you control a renowned asset. Banked energy can't be spent to deploy renowned cards.)[/color][/i][/center][p]Each asset on the battlefield has a 50% chance of being [u]forfeited[/u] [i][color=#34343A](Their owners put the specified assets into their discards.)[/color][/i][/p]</v>
      </c>
      <c r="W151" s="4" t="str">
        <f t="shared" si="9"/>
        <v xml:space="preserve">[i]R. Effect[/i]</v>
      </c>
      <c r="X151" s="4" t="str">
        <f t="shared" si="10"/>
        <v>RT_YR_008</v>
      </c>
    </row>
    <row r="152" outlineLevel="1">
      <c r="A152" s="1" t="s">
        <v>621</v>
      </c>
      <c r="B152" s="1" t="s">
        <v>622</v>
      </c>
      <c r="C152" s="2" t="s">
        <v>488</v>
      </c>
      <c r="D152" s="6" t="str">
        <f>IFERROR(__xludf.DUMMYFUNCTION("IF(EQ(A152,B152),"""",SWITCH(IF(T152="""",0,COUNTA(SPLIT(T152,"" ""))),0,""Generic"",1,TRIM(T152),2,""Multicolor"",3,""Multicolor"",4,""Multicolor"",5,""Multicolor"",6,""Multicolor"",7,""Multicolor"",8,""Multicolor""))"),"Yellow")</f>
        <v>Yellow</v>
      </c>
      <c r="E152" s="1" t="s">
        <v>79</v>
      </c>
      <c r="F152" s="1" t="s">
        <v>26</v>
      </c>
      <c r="G152" s="1" t="s">
        <v>623</v>
      </c>
      <c r="H152" s="2" t="s">
        <v>129</v>
      </c>
      <c r="I152" s="3" t="s">
        <v>624</v>
      </c>
      <c r="J152" s="3"/>
      <c r="K152" s="1">
        <v>6</v>
      </c>
      <c r="L152" s="1">
        <v>6</v>
      </c>
      <c r="O152" s="3"/>
      <c r="Q152" s="1">
        <v>60</v>
      </c>
      <c r="R152" s="1">
        <v>45</v>
      </c>
      <c r="S152" s="4" t="str">
        <f t="shared" si="8"/>
        <v>True</v>
      </c>
      <c r="T152" s="4" t="str">
        <f>IFERROR(__xludf.DUMMYFUNCTION("CONCATENATE(if(REGEXMATCH(C152,""R""),"" Red"",""""),if(REGEXMATCH(C152,""O""),"" Orange"",""""),if(REGEXMATCH(C152,""Y""),"" Yellow"",""""),if(REGEXMATCH(C152,""G""),"" Green"",""""),if(REGEXMATCH(C152,""B""),"" Blue"",""""),if(REGEXMATCH(C152,""P""),"" "&amp;"Purple"",""""))")," Yellow")</f>
        <v>Yellow</v>
      </c>
      <c r="U152" s="4" t="str">
        <f>IFERROR(__xludf.DUMMYFUNCTION("TRIM(CONCAT(""[right]"", REGEXREPLACE(C152, ""([ROYGBPXZC_]|1?[0-9])"", ""[img=119]res://textures/icons/$0.png[/img]\\n"")))"),"[right][img=119]res://textures/icons/1.png[/img]\n[img=119]res://textures/icons/Y.png[/img]\n[img=119]res://textures/icons/Y.png[/img]\n")</f>
        <v>[right][img=119]res://textures/icons/1.png[/img]\n[img=119]res://textures/icons/Y.png[/img]\n[img=119]res://textures/icons/Y.png[/img]\n</v>
      </c>
      <c r="V152" s="4" t="str">
        <f>IFERROR(__xludf.DUMMYFUNCTION("SUBSTITUTE(SUBSTITUTE(SUBSTITUTE(SUBSTITUTE(REGEXREPLACE(SUBSTITUTE(SUBSTITUTE(SUBSTITUTE(SUBSTITUTE(REGEXREPLACE(I152, ""(\[([ROYGBPTQUXZC_]|1?[0-9])\])"", ""[img=45]res://textures/icons/$2.png[/img]""),""--"",""—""),""-&gt;"",""•""),""~@"", CONCATENATE(""["&amp;"i]"",REGEXEXTRACT(B152,""^([\s\S]*),|$""),""[/i]"")),""~"", CONCATENATE(""[i]"",B152,""[/i]"")),""(\([\s\S]*?\))"",""[i][color=#34343A]$0[/color][/i]""), ""&lt;"", ""[""), ""&gt;"", ""]""), ""[/p][p]"", ""[font_size=15]\n\n[/font_size]""), ""[br/]"", ""\n"")"),"[u]Mob[/u] [i][color=#34343A](You may assign any number of mob combatants you control to a unit. Any number of your opponent's combatants may intercept these units. You, not your opponent, choose how combat damage is divided among the intercepted and inte"&amp;"rcepting mob units you control.)[/color][/i]")</f>
        <v xml:space="preserve">[u]Mob[/u] [i][color=#34343A](You may assign any number of mob combatants you control to a unit. Any number of your opponent's combatants may intercept these units. You, not your opponent, choose how combat damage is divided among the intercepted and intercepting mob units you control.)[/color][/i]</v>
      </c>
      <c r="W152" s="4" t="str">
        <f t="shared" si="9"/>
        <v>[i]Asset[/i]</v>
      </c>
      <c r="X152" s="4" t="str">
        <f t="shared" si="10"/>
        <v>RT_YU_009</v>
      </c>
    </row>
    <row r="153" outlineLevel="1">
      <c r="A153" s="1" t="s">
        <v>625</v>
      </c>
      <c r="B153" s="1" t="s">
        <v>626</v>
      </c>
      <c r="C153" s="2" t="s">
        <v>627</v>
      </c>
      <c r="D153" s="6" t="str">
        <f>IFERROR(__xludf.DUMMYFUNCTION("IF(EQ(A153,B153),"""",SWITCH(IF(T153="""",0,COUNTA(SPLIT(T153,"" ""))),0,""Generic"",1,TRIM(T153),2,""Multicolor"",3,""Multicolor"",4,""Multicolor"",5,""Multicolor"",6,""Multicolor"",7,""Multicolor"",8,""Multicolor""))"),"Yellow")</f>
        <v>Yellow</v>
      </c>
      <c r="E153" s="1" t="s">
        <v>51</v>
      </c>
      <c r="F153" s="1" t="s">
        <v>26</v>
      </c>
      <c r="G153" s="1" t="s">
        <v>623</v>
      </c>
      <c r="H153" s="2" t="s">
        <v>119</v>
      </c>
      <c r="I153" s="3" t="s">
        <v>628</v>
      </c>
      <c r="J153" s="3"/>
      <c r="K153" s="1" t="s">
        <v>629</v>
      </c>
      <c r="L153" s="1">
        <v>3</v>
      </c>
      <c r="O153" s="3"/>
      <c r="Q153" s="1">
        <v>60</v>
      </c>
      <c r="R153" s="1">
        <v>45</v>
      </c>
      <c r="S153" s="4" t="str">
        <f t="shared" si="8"/>
        <v>True</v>
      </c>
      <c r="T153" s="4" t="str">
        <f>IFERROR(__xludf.DUMMYFUNCTION("CONCATENATE(if(REGEXMATCH(C153,""R""),"" Red"",""""),if(REGEXMATCH(C153,""O""),"" Orange"",""""),if(REGEXMATCH(C153,""Y""),"" Yellow"",""""),if(REGEXMATCH(C153,""G""),"" Green"",""""),if(REGEXMATCH(C153,""B""),"" Blue"",""""),if(REGEXMATCH(C153,""P""),"" "&amp;"Purple"",""""))")," Yellow")</f>
        <v>Yellow</v>
      </c>
      <c r="U153" s="4" t="str">
        <f>IFERROR(__xludf.DUMMYFUNCTION("TRIM(CONCAT(""[right]"", REGEXREPLACE(C153, ""([ROYGBPXZC_]|1?[0-9])"", ""[img=119]res://textures/icons/$0.png[/img]\\n"")))"),"[right][img=119]res://textures/icons/Y.png[/img]\n[img=119]res://textures/icons/Y.png[/img]\n")</f>
        <v>[right][img=119]res://textures/icons/Y.png[/img]\n[img=119]res://textures/icons/Y.png[/img]\n</v>
      </c>
      <c r="V153" s="4" t="str">
        <f>IFERROR(__xludf.DUMMYFUNCTION("SUBSTITUTE(SUBSTITUTE(SUBSTITUTE(SUBSTITUTE(REGEXREPLACE(SUBSTITUTE(SUBSTITUTE(SUBSTITUTE(SUBSTITUTE(REGEXREPLACE(I153, ""(\[([ROYGBPTQUXZC_]|1?[0-9])\])"", ""[img=45]res://textures/icons/$2.png[/img]""),""--"",""—""),""-&gt;"",""•""),""~@"", CONCATENATE(""["&amp;"i]"",REGEXEXTRACT(B153,""^([\s\S]*),|$""),""[/i]"")),""~"", CONCATENATE(""[i]"",B153,""[/i]"")),""(\([\s\S]*?\))"",""[i][color=#34343A]$0[/color][/i]""), ""&lt;"", ""[""), ""&gt;"", ""]""), ""[/p][p]"", ""[font_size=15]\n\n[/font_size]""), ""[br/]"", ""\n"")"),"[center][u]Mob[/u] [i][color=#34343A](You may assign any number of mob combatants you control to a unit. Any number of your opponent's combatants may intercept these units. You, not your opponent, choose how combat damage is divided among the intercepted "&amp;"and intercepting mob units you control.)[/color][/i][/center][p][i]Growing Mob[/i]'s attack power is equal to twice the number of cards named [i]Growing Mob[/i] that have been deployed this game.[/p]")</f>
        <v xml:space="preserve">[center][u]Mob[/u] [i][color=#34343A](You may assign any number of mob combatants you control to a unit. Any number of your opponent's combatants may intercept these units. You, not your opponent, choose how combat damage is divided among the intercepted and intercepting mob units you control.)[/color][/i][/center][p][i]Growing Mob[/i]'s attack power is equal to twice the number of cards named [i]Growing Mob[/i] that have been deployed this game.[/p]</v>
      </c>
      <c r="W153" s="4" t="str">
        <f t="shared" si="9"/>
        <v>[i]Asset[/i]</v>
      </c>
      <c r="X153" s="4" t="str">
        <f t="shared" si="10"/>
        <v>RT_YU_010</v>
      </c>
    </row>
    <row r="154" outlineLevel="1">
      <c r="A154" s="1" t="s">
        <v>630</v>
      </c>
      <c r="B154" s="1" t="s">
        <v>631</v>
      </c>
      <c r="C154" s="2" t="s">
        <v>507</v>
      </c>
      <c r="D154" s="6" t="str">
        <f>IFERROR(__xludf.DUMMYFUNCTION("IF(EQ(A154,B154),"""",SWITCH(IF(T154="""",0,COUNTA(SPLIT(T154,"" ""))),0,""Generic"",1,TRIM(T154),2,""Multicolor"",3,""Multicolor"",4,""Multicolor"",5,""Multicolor"",6,""Multicolor"",7,""Multicolor"",8,""Multicolor""))"),"Yellow")</f>
        <v>Yellow</v>
      </c>
      <c r="E154" s="1" t="s">
        <v>51</v>
      </c>
      <c r="F154" s="1" t="s">
        <v>26</v>
      </c>
      <c r="G154" s="1" t="s">
        <v>632</v>
      </c>
      <c r="H154" s="2" t="s">
        <v>129</v>
      </c>
      <c r="I154" s="3" t="s">
        <v>633</v>
      </c>
      <c r="J154" s="3"/>
      <c r="K154" s="1">
        <v>2</v>
      </c>
      <c r="L154" s="1">
        <v>1</v>
      </c>
      <c r="O154" s="3"/>
      <c r="Q154" s="1">
        <v>60</v>
      </c>
      <c r="R154" s="1">
        <v>40</v>
      </c>
      <c r="S154" s="4" t="str">
        <f t="shared" si="8"/>
        <v>True</v>
      </c>
      <c r="T154" s="4" t="str">
        <f>IFERROR(__xludf.DUMMYFUNCTION("CONCATENATE(if(REGEXMATCH(C154,""R""),"" Red"",""""),if(REGEXMATCH(C154,""O""),"" Orange"",""""),if(REGEXMATCH(C154,""Y""),"" Yellow"",""""),if(REGEXMATCH(C154,""G""),"" Green"",""""),if(REGEXMATCH(C154,""B""),"" Blue"",""""),if(REGEXMATCH(C154,""P""),"" "&amp;"Purple"",""""))")," Yellow")</f>
        <v>Yellow</v>
      </c>
      <c r="U154" s="4" t="str">
        <f>IFERROR(__xludf.DUMMYFUNCTION("TRIM(CONCAT(""[right]"", REGEXREPLACE(C154, ""([ROYGBPXZC_]|1?[0-9])"", ""[img=119]res://textures/icons/$0.png[/img]\\n"")))"),"[right][img=119]res://textures/icons/Y.png[/img]\n")</f>
        <v>[right][img=119]res://textures/icons/Y.png[/img]\n</v>
      </c>
      <c r="V154" s="4" t="str">
        <f>IFERROR(__xludf.DUMMYFUNCTION("SUBSTITUTE(SUBSTITUTE(SUBSTITUTE(SUBSTITUTE(REGEXREPLACE(SUBSTITUTE(SUBSTITUTE(SUBSTITUTE(SUBSTITUTE(REGEXREPLACE(I154, ""(\[([ROYGBPTQUXZC_]|1?[0-9])\])"", ""[img=45]res://textures/icons/$2.png[/img]""),""--"",""—""),""-&gt;"",""•""),""~@"", CONCATENATE(""["&amp;"i]"",REGEXEXTRACT(B154,""^([\s\S]*),|$""),""[/i]"")),""~"", CONCATENATE(""[i]"",B154,""[/i]"")),""(\([\s\S]*?\))"",""[i][color=#34343A]$0[/color][/i]""), ""&lt;"", ""[""), ""&gt;"", ""]""), ""[/p][p]"", ""[font_size=15]\n\n[/font_size]""), ""[br/]"", ""\n"")"),"[center][u]Retribution[/u] [i][color=#34343A](When you draw [i]Angry Customer[/i] as a result of taking damage, you may deploy it without paying its cost.)[/color][/i][/center][p]When [i]Angry Customer[/i] enters the battlefield, it deals 3 damage to an a"&amp;"sset or player of your choice.[/p]")</f>
        <v xml:space="preserve">[center][u]Retribution[/u] [i][color=#34343A](When you draw [i]Angry Customer[/i] as a result of taking damage, you may deploy it without paying its cost.)[/color][/i][/center][p]When [i]Angry Customer[/i] enters the battlefield, it deals 3 damage to an asset or player of your choice.[/p]</v>
      </c>
      <c r="W154" s="4" t="str">
        <f t="shared" si="9"/>
        <v>[i]Asset[/i]</v>
      </c>
      <c r="X154" s="4" t="str">
        <f t="shared" si="10"/>
        <v>RT_YU_011</v>
      </c>
    </row>
    <row r="155" outlineLevel="1">
      <c r="A155" s="1" t="s">
        <v>634</v>
      </c>
      <c r="B155" s="4" t="s">
        <v>635</v>
      </c>
      <c r="C155" s="5" t="s">
        <v>488</v>
      </c>
      <c r="D155" s="6" t="str">
        <f>IFERROR(__xludf.DUMMYFUNCTION("IF(EQ(A155,B155),"""",SWITCH(IF(T155="""",0,COUNTA(SPLIT(T155,"" ""))),0,""Generic"",1,TRIM(T155),2,""Multicolor"",3,""Multicolor"",4,""Multicolor"",5,""Multicolor"",6,""Multicolor"",7,""Multicolor"",8,""Multicolor""))"),"Yellow")</f>
        <v>Yellow</v>
      </c>
      <c r="E155" s="4"/>
      <c r="F155" s="4" t="s">
        <v>33</v>
      </c>
      <c r="G155" s="4"/>
      <c r="H155" s="5" t="s">
        <v>119</v>
      </c>
      <c r="I155" s="10" t="s">
        <v>636</v>
      </c>
      <c r="J155" s="3"/>
      <c r="O155" s="3"/>
      <c r="Q155" s="1">
        <v>60</v>
      </c>
      <c r="R155" s="1">
        <v>50</v>
      </c>
      <c r="S155" s="4" t="str">
        <f t="shared" si="8"/>
        <v>False</v>
      </c>
      <c r="T155" s="4" t="str">
        <f>IFERROR(__xludf.DUMMYFUNCTION("CONCATENATE(if(REGEXMATCH(C155,""R""),"" Red"",""""),if(REGEXMATCH(C155,""O""),"" Orange"",""""),if(REGEXMATCH(C155,""Y""),"" Yellow"",""""),if(REGEXMATCH(C155,""G""),"" Green"",""""),if(REGEXMATCH(C155,""B""),"" Blue"",""""),if(REGEXMATCH(C155,""P""),"" "&amp;"Purple"",""""))")," Yellow")</f>
        <v>Yellow</v>
      </c>
      <c r="U155" s="4" t="str">
        <f>IFERROR(__xludf.DUMMYFUNCTION("TRIM(CONCAT(""[right]"", REGEXREPLACE(C155, ""([ROYGBPXZC_]|1?[0-9])"", ""[img=119]res://textures/icons/$0.png[/img]\\n"")))"),"[right][img=119]res://textures/icons/1.png[/img]\n[img=119]res://textures/icons/Y.png[/img]\n[img=119]res://textures/icons/Y.png[/img]\n")</f>
        <v>[right][img=119]res://textures/icons/1.png[/img]\n[img=119]res://textures/icons/Y.png[/img]\n[img=119]res://textures/icons/Y.png[/img]\n</v>
      </c>
      <c r="V155" s="4" t="str">
        <f>IFERROR(__xludf.DUMMYFUNCTION("SUBSTITUTE(SUBSTITUTE(SUBSTITUTE(SUBSTITUTE(REGEXREPLACE(SUBSTITUTE(SUBSTITUTE(SUBSTITUTE(SUBSTITUTE(REGEXREPLACE(I155, ""(\[([ROYGBPTQUXZC_]|1?[0-9])\])"", ""[img=45]res://textures/icons/$2.png[/img]""),""--"",""—""),""-&gt;"",""•""),""~@"", CONCATENATE(""["&amp;"i]"",REGEXEXTRACT(B155,""^([\s\S]*),|$""),""[/i]"")),""~"", CONCATENATE(""[i]"",B155,""[/i]"")),""(\([\s\S]*?\))"",""[i][color=#34343A]$0[/color][/i]""), ""&lt;"", ""[""), ""&gt;"", ""]""), ""[/p][p]"", ""[font_size=15]\n\n[/font_size]""), ""[br/]"", ""\n"")"),"[center][u]Append to Combatant [img=45]res://textures/icons/3.png[/img][img=45]res://textures/icons/Y.png[/img][img=45]res://textures/icons/Y.png[/img][/u] [i][color=#34343A](As you deploy a combatant you may reveal [i]Charm[/i] and pay [img=45]res://text"&amp;"ures/icons/3.png[/img][img=45]res://textures/icons/Y.png[/img][img=45]res://textures/icons/Y.png[/img]. If you do add this card's effects as it resolves; it loses those effects once it leaves the stack.)[/color][/i][/center][p]Choose a combatant an oppone"&amp;"nt controls; until end of turn, gain control of it.[/p]")</f>
        <v xml:space="preserve">[center][u]Append to Combatant [img=45]res://textures/icons/3.png[/img][img=45]res://textures/icons/Y.png[/img][img=45]res://textures/icons/Y.png[/img][/u] [i][color=#34343A](As you deploy a combatant you may reveal [i]Charm[/i] and pay [img=45]res://textures/icons/3.png[/img][img=45]res://textures/icons/Y.png[/img][img=45]res://textures/icons/Y.png[/img]. If you do add this card's effects as it resolves; it loses those effects once it leaves the stack.)[/color][/i][/center][p]Choose a combatant an opponent controls; until end of turn, gain control of it.[/p]</v>
      </c>
      <c r="W155" s="4" t="str">
        <f t="shared" si="9"/>
        <v>[i]Effect[/i]</v>
      </c>
      <c r="X155" s="4" t="str">
        <f t="shared" si="10"/>
        <v>RT_YU_012</v>
      </c>
    </row>
    <row r="156" outlineLevel="1">
      <c r="A156" s="1" t="s">
        <v>637</v>
      </c>
      <c r="B156" s="4" t="s">
        <v>638</v>
      </c>
      <c r="C156" s="5" t="s">
        <v>531</v>
      </c>
      <c r="D156" s="6" t="str">
        <f>IFERROR(__xludf.DUMMYFUNCTION("IF(ISBLANK(A156),"""",SWITCH(IF(T156="""",0,COUNTA(SPLIT(T156,"" ""))),0,""Generic"",1,TRIM(T156),2,""Multicolor"",3,""Multicolor"",4,""Multicolor"",5,""Multicolor"",6,""Multicolor"",7,""Multicolor"",8,""Multicolor""))"),"Yellow")</f>
        <v>Yellow</v>
      </c>
      <c r="E156" s="4"/>
      <c r="F156" s="4" t="s">
        <v>33</v>
      </c>
      <c r="G156" s="4" t="s">
        <v>118</v>
      </c>
      <c r="H156" s="5" t="s">
        <v>119</v>
      </c>
      <c r="I156" s="7" t="s">
        <v>639</v>
      </c>
      <c r="J156" s="7" t="s">
        <v>640</v>
      </c>
      <c r="O156" s="3"/>
      <c r="Q156" s="1">
        <v>60</v>
      </c>
      <c r="R156" s="1">
        <v>50</v>
      </c>
      <c r="S156" s="4" t="str">
        <f t="shared" si="8"/>
        <v>False</v>
      </c>
      <c r="T156" s="4" t="str">
        <f>IFERROR(__xludf.DUMMYFUNCTION("CONCATENATE(if(REGEXMATCH(C156,""R""),"" Red"",""""),if(REGEXMATCH(C156,""O""),"" Orange"",""""),if(REGEXMATCH(C156,""Y""),"" Yellow"",""""),if(REGEXMATCH(C156,""G""),"" Green"",""""),if(REGEXMATCH(C156,""B""),"" Blue"",""""),if(REGEXMATCH(C156,""P""),"" "&amp;"Purple"",""""))")," Yellow")</f>
        <v>Yellow</v>
      </c>
      <c r="U156" s="4" t="str">
        <f>IFERROR(__xludf.DUMMYFUNCTION("TRIM(CONCAT(""[right]"", REGEXREPLACE(C156, ""([ROYGBPXZC_]|1?[0-9])"", ""[img=119]res://textures/icons/$0.png[/img]\\n"")))"),"[right][img=119]res://textures/icons/2.png[/img]\n[img=119]res://textures/icons/Y.png[/img]\n")</f>
        <v>[right][img=119]res://textures/icons/2.png[/img]\n[img=119]res://textures/icons/Y.png[/img]\n</v>
      </c>
      <c r="V156" s="4" t="str">
        <f>IFERROR(__xludf.DUMMYFUNCTION("SUBSTITUTE(SUBSTITUTE(SUBSTITUTE(SUBSTITUTE(REGEXREPLACE(SUBSTITUTE(SUBSTITUTE(SUBSTITUTE(SUBSTITUTE(REGEXREPLACE(I156, ""(\[([ROYGBPTQUXZC_]|1?[0-9])\])"", ""[img=45]res://textures/icons/$2.png[/img]""),""--"",""—""),""-&gt;"",""•""),""~@"", CONCATENATE(""["&amp;"i]"",REGEXEXTRACT(B156,""^([\s\S]*),|$""),""[/i]"")),""~"", CONCATENATE(""[i]"",B156,""[/i]"")),""(\([\s\S]*?\))"",""[i][color=#34343A]$0[/color][/i]""), ""&lt;"", ""[""), ""&gt;"", ""]""), ""[/p][p]"", ""[font_size=15]\n\n[/font_size]""), ""[br/]"", ""\n"")"),"[center][u]Advantageous[/u] [i][color=#34343A](When [i]Stacked Deck[/i] resolves, draw a card.)[/color][/i][/center][p]Choose a card on the stack, replace it with the top card of its controller's deck.[/p]")</f>
        <v xml:space="preserve">[center][u]Advantageous[/u] [i][color=#34343A](When [i]Stacked Deck[/i] resolves, draw a card.)[/color][/i][/center][p]Choose a card on the stack, replace it with the top card of its controller's deck.[/p]</v>
      </c>
      <c r="W156" s="4" t="str">
        <f t="shared" si="9"/>
        <v>[i]Effect[/i]</v>
      </c>
      <c r="X156" s="4" t="str">
        <f t="shared" si="10"/>
        <v>RT_YU_013</v>
      </c>
    </row>
    <row r="157" outlineLevel="1">
      <c r="A157" s="1" t="s">
        <v>641</v>
      </c>
      <c r="B157" s="4" t="s">
        <v>642</v>
      </c>
      <c r="C157" s="5" t="s">
        <v>531</v>
      </c>
      <c r="D157" s="6" t="str">
        <f>IFERROR(__xludf.DUMMYFUNCTION("IF(ISBLANK(A157),"""",SWITCH(IF(T157="""",0,COUNTA(SPLIT(T157,"" ""))),0,""Generic"",1,TRIM(T157),2,""Multicolor"",3,""Multicolor"",4,""Multicolor"",5,""Multicolor"",6,""Multicolor"",7,""Multicolor"",8,""Multicolor""))"),"Yellow")</f>
        <v>Yellow</v>
      </c>
      <c r="E157" s="4"/>
      <c r="F157" s="4" t="s">
        <v>33</v>
      </c>
      <c r="G157" s="4" t="s">
        <v>232</v>
      </c>
      <c r="H157" s="5" t="s">
        <v>119</v>
      </c>
      <c r="I157" s="7" t="s">
        <v>643</v>
      </c>
      <c r="J157" s="3"/>
      <c r="O157" s="3"/>
      <c r="Q157" s="1">
        <v>60</v>
      </c>
      <c r="R157" s="1">
        <v>50</v>
      </c>
      <c r="S157" s="4" t="str">
        <f t="shared" si="8"/>
        <v>False</v>
      </c>
      <c r="T157" s="4" t="str">
        <f>IFERROR(__xludf.DUMMYFUNCTION("CONCATENATE(if(REGEXMATCH(C157,""R""),"" Red"",""""),if(REGEXMATCH(C157,""O""),"" Orange"",""""),if(REGEXMATCH(C157,""Y""),"" Yellow"",""""),if(REGEXMATCH(C157,""G""),"" Green"",""""),if(REGEXMATCH(C157,""B""),"" Blue"",""""),if(REGEXMATCH(C157,""P""),"" "&amp;"Purple"",""""))")," Yellow")</f>
        <v>Yellow</v>
      </c>
      <c r="U157" s="4" t="str">
        <f>IFERROR(__xludf.DUMMYFUNCTION("TRIM(CONCAT(""[right]"", REGEXREPLACE(C157, ""([ROYGBPXZC_]|1?[0-9])"", ""[img=119]res://textures/icons/$0.png[/img]\\n"")))"),"[right][img=119]res://textures/icons/2.png[/img]\n[img=119]res://textures/icons/Y.png[/img]\n")</f>
        <v>[right][img=119]res://textures/icons/2.png[/img]\n[img=119]res://textures/icons/Y.png[/img]\n</v>
      </c>
      <c r="V157" s="4" t="str">
        <f>IFERROR(__xludf.DUMMYFUNCTION("SUBSTITUTE(SUBSTITUTE(SUBSTITUTE(SUBSTITUTE(REGEXREPLACE(SUBSTITUTE(SUBSTITUTE(SUBSTITUTE(SUBSTITUTE(REGEXREPLACE(I157, ""(\[([ROYGBPTQUXZC_]|1?[0-9])\])"", ""[img=45]res://textures/icons/$2.png[/img]""),""--"",""—""),""-&gt;"",""•""),""~@"", CONCATENATE(""["&amp;"i]"",REGEXEXTRACT(B157,""^([\s\S]*),|$""),""[/i]"")),""~"", CONCATENATE(""[i]"",B157,""[/i]"")),""(\([\s\S]*?\))"",""[i][color=#34343A]$0[/color][/i]""), ""&lt;"", ""[""), ""&gt;"", ""]""), ""[/p][p]"", ""[font_size=15]\n\n[/font_size]""), ""[br/]"", ""\n"")"),"[p]If an opponent searched their deck for a card this turn, [i]Mulligan[/i] costs [img=45]res://textures/icons/Y.png[/img] less.[font_size=15]\n\n[/font_size]Each player shuffles their hand into their deck, then draws that many cards plus one.[/p]")</f>
        <v xml:space="preserve">[p]If an opponent searched their deck for a card this turn, [i]Mulligan[/i] costs [img=45]res://textures/icons/Y.png[/img] less.[font_size=15]\n\n[/font_size]Each player shuffles their hand into their deck, then draws that many cards plus one.[/p]</v>
      </c>
      <c r="W157" s="4" t="str">
        <f t="shared" si="9"/>
        <v>[i]Effect[/i]</v>
      </c>
      <c r="X157" s="4" t="str">
        <f t="shared" si="10"/>
        <v>RT_YU_014</v>
      </c>
    </row>
    <row r="158" outlineLevel="1">
      <c r="A158" s="1" t="s">
        <v>644</v>
      </c>
      <c r="B158" s="1" t="s">
        <v>645</v>
      </c>
      <c r="C158" s="2" t="s">
        <v>531</v>
      </c>
      <c r="D158" s="6" t="str">
        <f>IFERROR(__xludf.DUMMYFUNCTION("IF(EQ(A158,B158),"""",SWITCH(IF(T158="""",0,COUNTA(SPLIT(T158,"" ""))),0,""Generic"",1,TRIM(T158),2,""Multicolor"",3,""Multicolor"",4,""Multicolor"",5,""Multicolor"",6,""Multicolor"",7,""Multicolor"",8,""Multicolor""))"),"Yellow")</f>
        <v>Yellow</v>
      </c>
      <c r="E158" s="1"/>
      <c r="F158" s="1" t="s">
        <v>26</v>
      </c>
      <c r="G158" s="1" t="s">
        <v>646</v>
      </c>
      <c r="H158" s="2" t="s">
        <v>119</v>
      </c>
      <c r="I158" s="3" t="s">
        <v>647</v>
      </c>
      <c r="J158" s="3"/>
      <c r="O158" s="3"/>
      <c r="Q158" s="1">
        <v>45</v>
      </c>
      <c r="R158" s="1">
        <v>50</v>
      </c>
      <c r="S158" s="4" t="str">
        <f t="shared" si="8"/>
        <v>False</v>
      </c>
      <c r="T158" s="4" t="str">
        <f>IFERROR(__xludf.DUMMYFUNCTION("CONCATENATE(if(REGEXMATCH(C158,""R""),"" Red"",""""),if(REGEXMATCH(C158,""O""),"" Orange"",""""),if(REGEXMATCH(C158,""Y""),"" Yellow"",""""),if(REGEXMATCH(C158,""G""),"" Green"",""""),if(REGEXMATCH(C158,""B""),"" Blue"",""""),if(REGEXMATCH(C158,""P""),"" "&amp;"Purple"",""""))")," Yellow")</f>
        <v>Yellow</v>
      </c>
      <c r="U158" s="4" t="str">
        <f>IFERROR(__xludf.DUMMYFUNCTION("TRIM(CONCAT(""[right]"", REGEXREPLACE(C158, ""([ROYGBPXZC_]|1?[0-9])"", ""[img=119]res://textures/icons/$0.png[/img]\\n"")))"),"[right][img=119]res://textures/icons/2.png[/img]\n[img=119]res://textures/icons/Y.png[/img]\n")</f>
        <v>[right][img=119]res://textures/icons/2.png[/img]\n[img=119]res://textures/icons/Y.png[/img]\n</v>
      </c>
      <c r="V158" s="4" t="str">
        <f>IFERROR(__xludf.DUMMYFUNCTION("SUBSTITUTE(SUBSTITUTE(SUBSTITUTE(SUBSTITUTE(REGEXREPLACE(SUBSTITUTE(SUBSTITUTE(SUBSTITUTE(SUBSTITUTE(REGEXREPLACE(I158, ""(\[([ROYGBPTQUXZC_]|1?[0-9])\])"", ""[img=45]res://textures/icons/$2.png[/img]""),""--"",""—""),""-&gt;"",""•""),""~@"", CONCATENATE(""["&amp;"i]"",REGEXEXTRACT(B158,""^([\s\S]*),|$""),""[/i]"")),""~"", CONCATENATE(""[i]"",B158,""[/i]"")),""(\([\s\S]*?\))"",""[i][color=#34343A]$0[/color][/i]""), ""&lt;"", ""[""), ""&gt;"", ""]""), ""[/p][p]"", ""[font_size=15]\n\n[/font_size]""), ""[br/]"", ""\n"")"),"[p]When [i]Wrist Mounted Flamethrower[/i] enters the battlefield, attach it to a combatant of your choice.[font_size=15]\n\n[/font_size]The attached combatant has [u]+X/+0[/u] [i][color=#34343A](X is the number of combatants that have attacked this turn.)"&amp;"[/color][/i] and [u]sluggish[/u] [i][color=#34343A](The specified asset deals combat damage after assets without sluggish.)[/color][/i][/p]")</f>
        <v xml:space="preserve">[p]When [i]Wrist Mounted Flamethrower[/i] enters the battlefield, attach it to a combatant of your choice.[font_size=15]\n\n[/font_size]The attached combatant has [u]+X/+0[/u] [i][color=#34343A](X is the number of combatants that have attacked this turn.)[/color][/i] and [u]sluggish[/u] [i][color=#34343A](The specified asset deals combat damage after assets without sluggish.)[/color][/i][/p]</v>
      </c>
      <c r="W158" s="4" t="str">
        <f t="shared" si="9"/>
        <v>[i]Asset[/i]</v>
      </c>
      <c r="X158" s="4" t="str">
        <f t="shared" si="10"/>
        <v>RT_YU_015</v>
      </c>
    </row>
    <row r="159" outlineLevel="1">
      <c r="A159" s="1" t="s">
        <v>648</v>
      </c>
      <c r="B159" s="1" t="s">
        <v>649</v>
      </c>
      <c r="C159" s="2" t="s">
        <v>473</v>
      </c>
      <c r="D159" s="6" t="str">
        <f>IFERROR(__xludf.DUMMYFUNCTION("IF(EQ(A159,B159),"""",SWITCH(IF(T159="""",0,COUNTA(SPLIT(T159,"" ""))),0,""Generic"",1,TRIM(T159),2,""Multicolor"",3,""Multicolor"",4,""Multicolor"",5,""Multicolor"",6,""Multicolor"",7,""Multicolor"",8,""Multicolor""))"),"Yellow")</f>
        <v>Yellow</v>
      </c>
      <c r="E159" s="1"/>
      <c r="F159" s="1" t="s">
        <v>33</v>
      </c>
      <c r="G159" s="1" t="s">
        <v>619</v>
      </c>
      <c r="H159" s="2" t="s">
        <v>129</v>
      </c>
      <c r="I159" s="3" t="s">
        <v>650</v>
      </c>
      <c r="J159" s="3"/>
      <c r="O159" s="3"/>
      <c r="Q159" s="1">
        <v>60</v>
      </c>
      <c r="R159" s="1">
        <v>50</v>
      </c>
      <c r="S159" s="4" t="str">
        <f t="shared" si="8"/>
        <v>False</v>
      </c>
      <c r="T159" s="4" t="str">
        <f>IFERROR(__xludf.DUMMYFUNCTION("CONCATENATE(if(REGEXMATCH(C159,""R""),"" Red"",""""),if(REGEXMATCH(C159,""O""),"" Orange"",""""),if(REGEXMATCH(C159,""Y""),"" Yellow"",""""),if(REGEXMATCH(C159,""G""),"" Green"",""""),if(REGEXMATCH(C159,""B""),"" Blue"",""""),if(REGEXMATCH(C159,""P""),"" "&amp;"Purple"",""""))")," Yellow")</f>
        <v>Yellow</v>
      </c>
      <c r="U159" s="4" t="str">
        <f>IFERROR(__xludf.DUMMYFUNCTION("TRIM(CONCAT(""[right]"", REGEXREPLACE(C159, ""([ROYGBPXZC_]|1?[0-9])"", ""[img=119]res://textures/icons/$0.png[/img]\\n"")))"),"[right][img=119]res://textures/icons/3.png[/img]\n[img=119]res://textures/icons/Y.png[/img]\n[img=119]res://textures/icons/Y.png[/img]\n")</f>
        <v>[right][img=119]res://textures/icons/3.png[/img]\n[img=119]res://textures/icons/Y.png[/img]\n[img=119]res://textures/icons/Y.png[/img]\n</v>
      </c>
      <c r="V159" s="4" t="str">
        <f>IFERROR(__xludf.DUMMYFUNCTION("SUBSTITUTE(SUBSTITUTE(SUBSTITUTE(SUBSTITUTE(REGEXREPLACE(SUBSTITUTE(SUBSTITUTE(SUBSTITUTE(SUBSTITUTE(REGEXREPLACE(I159, ""(\[([ROYGBPTQUXZC_]|1?[0-9])\])"", ""[img=45]res://textures/icons/$2.png[/img]""),""--"",""—""),""-&gt;"",""•""),""~@"", CONCATENATE(""["&amp;"i]"",REGEXEXTRACT(B159,""^([\s\S]*),|$""),""[/i]"")),""~"", CONCATENATE(""[i]"",B159,""[/i]"")),""(\([\s\S]*?\))"",""[i][color=#34343A]$0[/color][/i]""), ""&lt;"", ""[""), ""&gt;"", ""]""), ""[/p][p]"", ""[font_size=15]\n\n[/font_size]""), ""[br/]"", ""\n"")"),"Each combatant on the battlefield has the lower of its attack power or healthed permanently increased to match the greater. [i][color=#34343A](This is not a continuous effect.)[/color][/i]")</f>
        <v xml:space="preserve">Each combatant on the battlefield has the lower of its attack power or healthed permanently increased to match the greater. [i][color=#34343A](This is not a continuous effect.)[/color][/i]</v>
      </c>
      <c r="W159" s="4" t="str">
        <f t="shared" si="9"/>
        <v>[i]Effect[/i]</v>
      </c>
      <c r="X159" s="4" t="str">
        <f t="shared" si="10"/>
        <v>RT_YU_016</v>
      </c>
    </row>
    <row r="160" outlineLevel="1">
      <c r="A160" s="1" t="s">
        <v>651</v>
      </c>
      <c r="B160" s="1" t="s">
        <v>652</v>
      </c>
      <c r="C160" s="2" t="s">
        <v>483</v>
      </c>
      <c r="D160" s="6" t="str">
        <f>IFERROR(__xludf.DUMMYFUNCTION("IF(EQ(A160,B160),"""",SWITCH(IF(T160="""",0,COUNTA(SPLIT(T160,"" ""))),0,""Generic"",1,TRIM(T160),2,""Multicolor"",3,""Multicolor"",4,""Multicolor"",5,""Multicolor"",6,""Multicolor"",7,""Multicolor"",8,""Multicolor""))"),"Yellow")</f>
        <v>Yellow</v>
      </c>
      <c r="E160" s="1" t="s">
        <v>51</v>
      </c>
      <c r="F160" s="1" t="s">
        <v>26</v>
      </c>
      <c r="G160" s="1" t="s">
        <v>623</v>
      </c>
      <c r="H160" s="2" t="s">
        <v>44</v>
      </c>
      <c r="I160" s="3" t="s">
        <v>653</v>
      </c>
      <c r="J160" s="3"/>
      <c r="K160" s="1">
        <v>4</v>
      </c>
      <c r="L160" s="1">
        <v>4</v>
      </c>
      <c r="O160" s="3"/>
      <c r="Q160" s="1">
        <v>60</v>
      </c>
      <c r="R160" s="1">
        <v>45</v>
      </c>
      <c r="S160" s="4" t="str">
        <f t="shared" si="8"/>
        <v>True</v>
      </c>
      <c r="T160" s="4" t="str">
        <f>IFERROR(__xludf.DUMMYFUNCTION("CONCATENATE(if(REGEXMATCH(C160,""R""),"" Red"",""""),if(REGEXMATCH(C160,""O""),"" Orange"",""""),if(REGEXMATCH(C160,""Y""),"" Yellow"",""""),if(REGEXMATCH(C160,""G""),"" Green"",""""),if(REGEXMATCH(C160,""B""),"" Blue"",""""),if(REGEXMATCH(C160,""P""),"" "&amp;"Purple"",""""))")," Yellow")</f>
        <v>Yellow</v>
      </c>
      <c r="U160" s="4" t="str">
        <f>IFERROR(__xludf.DUMMYFUNCTION("TRIM(CONCAT(""[right]"", REGEXREPLACE(C160, ""([ROYGBPXZC_]|1?[0-9])"", ""[img=119]res://textures/icons/$0.png[/img]\\n"")))"),"[right][img=119]res://textures/icons/1.png[/img]\n[img=119]res://textures/icons/Y.png[/img]\n")</f>
        <v>[right][img=119]res://textures/icons/1.png[/img]\n[img=119]res://textures/icons/Y.png[/img]\n</v>
      </c>
      <c r="V160" s="4" t="str">
        <f>IFERROR(__xludf.DUMMYFUNCTION("SUBSTITUTE(SUBSTITUTE(SUBSTITUTE(SUBSTITUTE(REGEXREPLACE(SUBSTITUTE(SUBSTITUTE(SUBSTITUTE(SUBSTITUTE(REGEXREPLACE(I160, ""(\[([ROYGBPTQUXZC_]|1?[0-9])\])"", ""[img=45]res://textures/icons/$2.png[/img]""),""--"",""—""),""-&gt;"",""•""),""~@"", CONCATENATE(""["&amp;"i]"",REGEXEXTRACT(B160,""^([\s\S]*),|$""),""[/i]"")),""~"", CONCATENATE(""[i]"",B160,""[/i]"")),""(\([\s\S]*?\))"",""[i][color=#34343A]$0[/color][/i]""), ""&lt;"", ""[""), ""&gt;"", ""]""), ""[/p][p]"", ""[font_size=15]\n\n[/font_size]""), ""[br/]"", ""\n"")"),"[center][u]Mob[/u] [i][color=#34343A](You may assign any number of mob combatants you control to a unit. Any number of your opponent's combatants may intercept these units. You, not your opponent, choose how combat damage is divided among the intercepted "&amp;"and intercepting mob units you control.)[/color][/i][/center]")</f>
        <v xml:space="preserve">[center][u]Mob[/u] [i][color=#34343A](You may assign any number of mob combatants you control to a unit. Any number of your opponent's combatants may intercept these units. You, not your opponent, choose how combat damage is divided among the intercepted and intercepting mob units you control.)[/color][/i][/center]</v>
      </c>
      <c r="W160" s="4" t="str">
        <f t="shared" si="9"/>
        <v>[i]Asset[/i]</v>
      </c>
      <c r="X160" s="4" t="str">
        <f t="shared" si="10"/>
        <v>RT_YC_013</v>
      </c>
    </row>
    <row r="161" outlineLevel="1">
      <c r="A161" s="1" t="s">
        <v>654</v>
      </c>
      <c r="B161" s="4" t="s">
        <v>655</v>
      </c>
      <c r="C161" s="5" t="s">
        <v>483</v>
      </c>
      <c r="D161" s="6" t="str">
        <f>IFERROR(__xludf.DUMMYFUNCTION("IF(ISBLANK(A161),"""",SWITCH(IF(T161="""",0,COUNTA(SPLIT(T161,"" ""))),0,""Generic"",1,TRIM(T161),2,""Multicolor"",3,""Multicolor"",4,""Multicolor"",5,""Multicolor"",6,""Multicolor"",7,""Multicolor"",8,""Multicolor""))"),"Yellow")</f>
        <v>Yellow</v>
      </c>
      <c r="E161" s="4"/>
      <c r="F161" s="4" t="s">
        <v>33</v>
      </c>
      <c r="G161" s="4" t="s">
        <v>118</v>
      </c>
      <c r="H161" s="5" t="s">
        <v>44</v>
      </c>
      <c r="I161" s="7" t="s">
        <v>656</v>
      </c>
      <c r="J161" s="4"/>
      <c r="O161" s="3"/>
      <c r="Q161" s="1">
        <v>60</v>
      </c>
      <c r="R161" s="1">
        <v>50</v>
      </c>
      <c r="S161" s="4" t="str">
        <f t="shared" si="8"/>
        <v>False</v>
      </c>
      <c r="T161" s="4" t="str">
        <f>IFERROR(__xludf.DUMMYFUNCTION("CONCATENATE(if(REGEXMATCH(C161,""R""),"" Red"",""""),if(REGEXMATCH(C161,""O""),"" Orange"",""""),if(REGEXMATCH(C161,""Y""),"" Yellow"",""""),if(REGEXMATCH(C161,""G""),"" Green"",""""),if(REGEXMATCH(C161,""B""),"" Blue"",""""),if(REGEXMATCH(C161,""P""),"" "&amp;"Purple"",""""))")," Yellow")</f>
        <v>Yellow</v>
      </c>
      <c r="U161" s="4" t="str">
        <f>IFERROR(__xludf.DUMMYFUNCTION("TRIM(CONCAT(""[right]"", REGEXREPLACE(C161, ""([ROYGBPXZC_]|1?[0-9])"", ""[img=119]res://textures/icons/$0.png[/img]\\n"")))"),"[right][img=119]res://textures/icons/1.png[/img]\n[img=119]res://textures/icons/Y.png[/img]\n")</f>
        <v>[right][img=119]res://textures/icons/1.png[/img]\n[img=119]res://textures/icons/Y.png[/img]\n</v>
      </c>
      <c r="V161" s="4" t="str">
        <f>IFERROR(__xludf.DUMMYFUNCTION("SUBSTITUTE(SUBSTITUTE(SUBSTITUTE(SUBSTITUTE(REGEXREPLACE(SUBSTITUTE(SUBSTITUTE(SUBSTITUTE(SUBSTITUTE(REGEXREPLACE(I161, ""(\[([ROYGBPTQUXZC_]|1?[0-9])\])"", ""[img=45]res://textures/icons/$2.png[/img]""),""--"",""—""),""-&gt;"",""•""),""~@"", CONCATENATE(""["&amp;"i]"",REGEXEXTRACT(B161,""^([\s\S]*),|$""),""[/i]"")),""~"", CONCATENATE(""[i]"",B161,""[/i]"")),""(\([\s\S]*?\))"",""[i][color=#34343A]$0[/color][/i]""), ""&lt;"", ""[""), ""&gt;"", ""]""), ""[/p][p]"", ""[font_size=15]\n\n[/font_size]""), ""[br/]"", ""\n"")"),"[center][u]Advantageous[/u] [i][color=#34343A](When [i]Ruined Plan[/i] resolves, draw a card.)[/color][/i][/center][p]Choose a player, [i]Ruined Plan[/i] deals 2 damage to their commander for each card they control on the stack.[/p]")</f>
        <v xml:space="preserve">[center][u]Advantageous[/u] [i][color=#34343A](When [i]Ruined Plan[/i] resolves, draw a card.)[/color][/i][/center][p]Choose a player, [i]Ruined Plan[/i] deals 2 damage to their commander for each card they control on the stack.[/p]</v>
      </c>
      <c r="W161" s="4" t="str">
        <f t="shared" si="9"/>
        <v>[i]Effect[/i]</v>
      </c>
      <c r="X161" s="4" t="str">
        <f t="shared" si="10"/>
        <v>RT_YC_014</v>
      </c>
    </row>
    <row r="162" outlineLevel="1">
      <c r="A162" s="1" t="s">
        <v>657</v>
      </c>
      <c r="B162" s="1" t="s">
        <v>658</v>
      </c>
      <c r="C162" s="2" t="s">
        <v>659</v>
      </c>
      <c r="D162" s="6" t="s">
        <v>660</v>
      </c>
      <c r="E162" s="1"/>
      <c r="F162" s="1" t="s">
        <v>33</v>
      </c>
      <c r="G162" s="4" t="s">
        <v>619</v>
      </c>
      <c r="H162" s="2" t="s">
        <v>32</v>
      </c>
      <c r="I162" s="3" t="s">
        <v>661</v>
      </c>
      <c r="J162" s="3"/>
      <c r="O162" s="3"/>
      <c r="Q162" s="1">
        <v>60</v>
      </c>
      <c r="R162" s="1">
        <v>50</v>
      </c>
      <c r="S162" s="4" t="str">
        <f t="shared" si="8"/>
        <v>False</v>
      </c>
      <c r="T162" s="4" t="s">
        <v>662</v>
      </c>
      <c r="U162" s="4" t="str">
        <f>IFERROR(__xludf.DUMMYFUNCTION("TRIM(CONCAT(""[right]"", REGEXREPLACE(C162, ""([ROYGBPXZC_]|1?[0-9])"", ""[img=119]res://textures/icons/$0.png[/img]\\n"")))"),"[right][img=119]res://textures/icons/2.png[/img]\n[img=119]res://textures/icons/_.png[/img]\n")</f>
        <v>[right][img=119]res://textures/icons/2.png[/img]\n[img=119]res://textures/icons/_.png[/img]\n</v>
      </c>
      <c r="V162" s="4" t="str">
        <f>IFERROR(__xludf.DUMMYFUNCTION("SUBSTITUTE(SUBSTITUTE(SUBSTITUTE(SUBSTITUTE(REGEXREPLACE(SUBSTITUTE(SUBSTITUTE(SUBSTITUTE(SUBSTITUTE(REGEXREPLACE(I162, ""(\[([ROYGBPTQUXZC_]|1?[0-9])\])"", ""[img=45]res://textures/icons/$2.png[/img]""),""--"",""—""),""-&gt;"",""•""),""~@"", CONCATENATE(""["&amp;"i]"",REGEXEXTRACT(B162,""^([\s\S]*),|$""),""[/i]"")),""~"", CONCATENATE(""[i]"",B162,""[/i]"")),""(\([\s\S]*?\))"",""[i][color=#34343A]$0[/color][/i]""), ""&lt;"", ""[""), ""&gt;"", ""]""), ""[/p][p]"", ""[font_size=15]\n\n[/font_size]""), ""[br/]"", ""\n"")"),"[center][i][color=#34343A]([img=45]res://textures/icons/_.png[/img] can be paid with [img=45]res://textures/icons/R.png[/img] or [img=45]res://textures/icons/Y.png[/img].)[/color][/i][/center][p]Until end of turn, each combatant on the battlefield gains ["&amp;"u]terrified[/u] [i][color=#34343A](They lose all effects.)[/color][/i][/p]")</f>
        <v xml:space="preserve">[center][i][color=#34343A]([img=45]res://textures/icons/_.png[/img] can be paid with [img=45]res://textures/icons/R.png[/img] or [img=45]res://textures/icons/Y.png[/img].)[/color][/i][/center][p]Until end of turn, each combatant on the battlefield gains [u]terrified[/u] [i][color=#34343A](They lose all effects.)[/color][/i][/p]</v>
      </c>
      <c r="W162" s="4" t="str">
        <f t="shared" si="9"/>
        <v>[i]Effect[/i]</v>
      </c>
      <c r="X162" s="4" t="str">
        <f t="shared" si="10"/>
        <v>RT_YC_015</v>
      </c>
    </row>
    <row r="163" outlineLevel="1">
      <c r="A163" s="1" t="s">
        <v>663</v>
      </c>
      <c r="B163" s="1" t="s">
        <v>664</v>
      </c>
      <c r="C163" s="2" t="s">
        <v>531</v>
      </c>
      <c r="D163" s="6" t="str">
        <f>IFERROR(__xludf.DUMMYFUNCTION("IF(ISBLANK(A163),"""",SWITCH(IF(T163="""",0,COUNTA(SPLIT(T163,"" ""))),0,""Generic"",1,TRIM(T163),2,""Multicolor"",3,""Multicolor"",4,""Multicolor"",5,""Multicolor"",6,""Multicolor"",7,""Multicolor"",8,""Multicolor""))"),"Yellow")</f>
        <v>Yellow</v>
      </c>
      <c r="E163" s="1"/>
      <c r="F163" s="1" t="s">
        <v>33</v>
      </c>
      <c r="G163" s="1" t="s">
        <v>619</v>
      </c>
      <c r="H163" s="2" t="s">
        <v>32</v>
      </c>
      <c r="I163" s="3" t="s">
        <v>665</v>
      </c>
      <c r="J163" s="3"/>
      <c r="O163" s="3"/>
      <c r="Q163" s="1">
        <v>60</v>
      </c>
      <c r="R163" s="1">
        <v>50</v>
      </c>
      <c r="S163" s="4" t="str">
        <f t="shared" si="8"/>
        <v>False</v>
      </c>
      <c r="T163" s="4" t="str">
        <f>IFERROR(__xludf.DUMMYFUNCTION("CONCATENATE(if(REGEXMATCH(C163,""R""),"" Red"",""""),if(REGEXMATCH(C163,""O""),"" Orange"",""""),if(REGEXMATCH(C163,""Y""),"" Yellow"",""""),if(REGEXMATCH(C163,""G""),"" Green"",""""),if(REGEXMATCH(C163,""B""),"" Blue"",""""),if(REGEXMATCH(C163,""P""),"" "&amp;"Purple"",""""))")," Yellow")</f>
        <v>Yellow</v>
      </c>
      <c r="U163" s="4" t="str">
        <f>IFERROR(__xludf.DUMMYFUNCTION("TRIM(CONCAT(""[right]"", REGEXREPLACE(C163, ""([ROYGBPXZC_]|1?[0-9])"", ""[img=119]res://textures/icons/$0.png[/img]\\n"")))"),"[right][img=119]res://textures/icons/2.png[/img]\n[img=119]res://textures/icons/Y.png[/img]\n")</f>
        <v>[right][img=119]res://textures/icons/2.png[/img]\n[img=119]res://textures/icons/Y.png[/img]\n</v>
      </c>
      <c r="V163" s="4" t="str">
        <f>IFERROR(__xludf.DUMMYFUNCTION("SUBSTITUTE(SUBSTITUTE(SUBSTITUTE(SUBSTITUTE(REGEXREPLACE(SUBSTITUTE(SUBSTITUTE(SUBSTITUTE(SUBSTITUTE(REGEXREPLACE(I163, ""(\[([ROYGBPTQUXZC_]|1?[0-9])\])"", ""[img=45]res://textures/icons/$2.png[/img]""),""--"",""—""),""-&gt;"",""•""),""~@"", CONCATENATE(""["&amp;"i]"",REGEXEXTRACT(B163,""^([\s\S]*),|$""),""[/i]"")),""~"", CONCATENATE(""[i]"",B163,""[/i]"")),""(\([\s\S]*?\))"",""[i][color=#34343A]$0[/color][/i]""), ""&lt;"", ""[""), ""&gt;"", ""]""), ""[/p][p]"", ""[font_size=15]\n\n[/font_size]""), ""[br/]"", ""\n"")"),"[center][u]Retribution[/u] [i][color=#34343A](When you draw [i]Anger[/i] as a result of taking damage, you may deploy it without paying its cost.)[/color][/i][/center][p][i]Anger[/i] deals 3 damage to each combatant on the battlefield.[/p]")</f>
        <v xml:space="preserve">[center][u]Retribution[/u] [i][color=#34343A](When you draw [i]Anger[/i] as a result of taking damage, you may deploy it without paying its cost.)[/color][/i][/center][p][i]Anger[/i] deals 3 damage to each combatant on the battlefield.[/p]</v>
      </c>
      <c r="W163" s="4" t="str">
        <f t="shared" si="9"/>
        <v>[i]Effect[/i]</v>
      </c>
      <c r="X163" s="4" t="str">
        <f t="shared" si="10"/>
        <v>RT_YC_016</v>
      </c>
    </row>
    <row r="164" outlineLevel="1">
      <c r="A164" s="1" t="s">
        <v>666</v>
      </c>
      <c r="B164" s="1" t="s">
        <v>667</v>
      </c>
      <c r="C164" s="2" t="s">
        <v>507</v>
      </c>
      <c r="D164" s="6" t="str">
        <f>IFERROR(__xludf.DUMMYFUNCTION("IF(ISBLANK(A164),"""",SWITCH(IF(T164="""",0,COUNTA(SPLIT(T164,"" ""))),0,""Generic"",1,TRIM(T164),2,""Multicolor"",3,""Multicolor"",4,""Multicolor"",5,""Multicolor"",6,""Multicolor"",7,""Multicolor"",8,""Multicolor""))"),"Yellow")</f>
        <v>Yellow</v>
      </c>
      <c r="E164" s="1" t="s">
        <v>51</v>
      </c>
      <c r="F164" s="1" t="s">
        <v>26</v>
      </c>
      <c r="G164" s="1" t="s">
        <v>668</v>
      </c>
      <c r="H164" s="2" t="s">
        <v>50</v>
      </c>
      <c r="I164" s="3"/>
      <c r="J164" s="3"/>
      <c r="K164" s="1">
        <v>4</v>
      </c>
      <c r="L164" s="1">
        <v>2</v>
      </c>
      <c r="O164" s="3"/>
      <c r="Q164" s="1">
        <v>60</v>
      </c>
      <c r="R164" s="1">
        <v>35</v>
      </c>
      <c r="S164" s="4" t="str">
        <f t="shared" si="8"/>
        <v>True</v>
      </c>
      <c r="T164" s="4" t="str">
        <f>IFERROR(__xludf.DUMMYFUNCTION("CONCATENATE(if(REGEXMATCH(C164,""R""),"" Red"",""""),if(REGEXMATCH(C164,""O""),"" Orange"",""""),if(REGEXMATCH(C164,""Y""),"" Yellow"",""""),if(REGEXMATCH(C164,""G""),"" Green"",""""),if(REGEXMATCH(C164,""B""),"" Blue"",""""),if(REGEXMATCH(C164,""P""),"" "&amp;"Purple"",""""))")," Yellow")</f>
        <v>Yellow</v>
      </c>
      <c r="U164" s="4" t="str">
        <f>IFERROR(__xludf.DUMMYFUNCTION("TRIM(CONCAT(""[right]"", REGEXREPLACE(C164, ""([ROYGBPXZC_]|1?[0-9])"", ""[img=119]res://textures/icons/$0.png[/img]\\n"")))"),"[right][img=119]res://textures/icons/Y.png[/img]\n")</f>
        <v>[right][img=119]res://textures/icons/Y.png[/img]\n</v>
      </c>
      <c r="V164" s="4" t="str">
        <f>IFERROR(__xludf.DUMMYFUNCTION("SUBSTITUTE(SUBSTITUTE(SUBSTITUTE(SUBSTITUTE(REGEXREPLACE(SUBSTITUTE(SUBSTITUTE(SUBSTITUTE(SUBSTITUTE(REGEXREPLACE(I164, ""(\[([ROYGBPTQUXZC_]|1?[0-9])\])"", ""[img=45]res://textures/icons/$2.png[/img]""),""--"",""—""),""-&gt;"",""•""),""~@"", CONCATENATE(""["&amp;"i]"",REGEXEXTRACT(B164,""^([\s\S]*),|$""),""[/i]"")),""~"", CONCATENATE(""[i]"",B164,""[/i]"")),""(\([\s\S]*?\))"",""[i][color=#34343A]$0[/color][/i]""), ""&lt;"", ""[""), ""&gt;"", ""]""), ""[/p][p]"", ""[font_size=15]\n\n[/font_size]""), ""[br/]"", ""\n"")"),"")</f>
        <v/>
      </c>
      <c r="W164" s="4" t="str">
        <f t="shared" si="9"/>
        <v>[i]Asset[/i]</v>
      </c>
      <c r="X164" s="4" t="str">
        <f t="shared" si="10"/>
        <v>RT_YC_017</v>
      </c>
    </row>
    <row r="165" outlineLevel="1">
      <c r="A165" s="1" t="s">
        <v>669</v>
      </c>
      <c r="B165" s="1" t="s">
        <v>670</v>
      </c>
      <c r="C165" s="2" t="s">
        <v>488</v>
      </c>
      <c r="D165" s="6" t="str">
        <f>IFERROR(__xludf.DUMMYFUNCTION("IF(EQ(A165,B165),"""",SWITCH(IF(T165="""",0,COUNTA(SPLIT(T165,"" ""))),0,""Generic"",1,TRIM(T165),2,""Multicolor"",3,""Multicolor"",4,""Multicolor"",5,""Multicolor"",6,""Multicolor"",7,""Multicolor"",8,""Multicolor""))"),"Yellow")</f>
        <v>Yellow</v>
      </c>
      <c r="E165" s="1" t="s">
        <v>51</v>
      </c>
      <c r="F165" s="1" t="s">
        <v>26</v>
      </c>
      <c r="G165" s="1" t="s">
        <v>623</v>
      </c>
      <c r="H165" s="2" t="s">
        <v>50</v>
      </c>
      <c r="I165" s="3" t="s">
        <v>653</v>
      </c>
      <c r="J165" s="3"/>
      <c r="K165" s="1">
        <v>4</v>
      </c>
      <c r="L165" s="1">
        <v>4</v>
      </c>
      <c r="O165" s="3"/>
      <c r="Q165" s="1">
        <v>60</v>
      </c>
      <c r="R165" s="1">
        <v>50</v>
      </c>
      <c r="S165" s="4" t="str">
        <f t="shared" si="8"/>
        <v>True</v>
      </c>
      <c r="T165" s="4" t="str">
        <f>IFERROR(__xludf.DUMMYFUNCTION("CONCATENATE(if(REGEXMATCH(C165,""R""),"" Red"",""""),if(REGEXMATCH(C165,""O""),"" Orange"",""""),if(REGEXMATCH(C165,""Y""),"" Yellow"",""""),if(REGEXMATCH(C165,""G""),"" Green"",""""),if(REGEXMATCH(C165,""B""),"" Blue"",""""),if(REGEXMATCH(C165,""P""),"" "&amp;"Purple"",""""))")," Yellow")</f>
        <v>Yellow</v>
      </c>
      <c r="U165" s="4" t="str">
        <f>IFERROR(__xludf.DUMMYFUNCTION("TRIM(CONCAT(""[right]"", REGEXREPLACE(C165, ""([ROYGBPXZC_]|1?[0-9])"", ""[img=119]res://textures/icons/$0.png[/img]\\n"")))"),"[right][img=119]res://textures/icons/1.png[/img]\n[img=119]res://textures/icons/Y.png[/img]\n[img=119]res://textures/icons/Y.png[/img]\n")</f>
        <v>[right][img=119]res://textures/icons/1.png[/img]\n[img=119]res://textures/icons/Y.png[/img]\n[img=119]res://textures/icons/Y.png[/img]\n</v>
      </c>
      <c r="V165" s="4" t="str">
        <f>IFERROR(__xludf.DUMMYFUNCTION("SUBSTITUTE(SUBSTITUTE(SUBSTITUTE(SUBSTITUTE(REGEXREPLACE(SUBSTITUTE(SUBSTITUTE(SUBSTITUTE(SUBSTITUTE(REGEXREPLACE(I165, ""(\[([ROYGBPTQUXZC_]|1?[0-9])\])"", ""[img=45]res://textures/icons/$2.png[/img]""),""--"",""—""),""-&gt;"",""•""),""~@"", CONCATENATE(""["&amp;"i]"",REGEXEXTRACT(B165,""^([\s\S]*),|$""),""[/i]"")),""~"", CONCATENATE(""[i]"",B165,""[/i]"")),""(\([\s\S]*?\))"",""[i][color=#34343A]$0[/color][/i]""), ""&lt;"", ""[""), ""&gt;"", ""]""), ""[/p][p]"", ""[font_size=15]\n\n[/font_size]""), ""[br/]"", ""\n"")"),"[center][u]Mob[/u] [i][color=#34343A](You may assign any number of mob combatants you control to a unit. Any number of your opponent's combatants may intercept these units. You, not your opponent, choose how combat damage is divided among the intercepted "&amp;"and intercepting mob units you control.)[/color][/i][/center]")</f>
        <v xml:space="preserve">[center][u]Mob[/u] [i][color=#34343A](You may assign any number of mob combatants you control to a unit. Any number of your opponent's combatants may intercept these units. You, not your opponent, choose how combat damage is divided among the intercepted and intercepting mob units you control.)[/color][/i][/center]</v>
      </c>
      <c r="W165" s="4" t="str">
        <f t="shared" si="9"/>
        <v>[i]Asset[/i]</v>
      </c>
      <c r="X165" s="4" t="str">
        <f t="shared" si="10"/>
        <v>RT_YC_018</v>
      </c>
    </row>
    <row r="166" outlineLevel="1">
      <c r="A166" s="1" t="s">
        <v>671</v>
      </c>
      <c r="B166" s="1" t="s">
        <v>672</v>
      </c>
      <c r="C166" s="2" t="s">
        <v>518</v>
      </c>
      <c r="D166" s="6" t="str">
        <f>IFERROR(__xludf.DUMMYFUNCTION("IF(EQ(A166,B166),"""",SWITCH(IF(T166="""",0,COUNTA(SPLIT(T166,"" ""))),0,""Generic"",1,TRIM(T166),2,""Multicolor"",3,""Multicolor"",4,""Multicolor"",5,""Multicolor"",6,""Multicolor"",7,""Multicolor"",8,""Multicolor""))"),"Yellow")</f>
        <v>Yellow</v>
      </c>
      <c r="E166" s="1" t="s">
        <v>51</v>
      </c>
      <c r="F166" s="1" t="s">
        <v>26</v>
      </c>
      <c r="G166" s="1" t="s">
        <v>623</v>
      </c>
      <c r="H166" s="2" t="s">
        <v>32</v>
      </c>
      <c r="I166" s="11" t="s">
        <v>673</v>
      </c>
      <c r="J166" s="3"/>
      <c r="K166" s="1">
        <v>5</v>
      </c>
      <c r="L166" s="1">
        <v>5</v>
      </c>
      <c r="O166" s="3"/>
      <c r="Q166" s="1">
        <v>50</v>
      </c>
      <c r="R166" s="1">
        <v>50</v>
      </c>
      <c r="S166" s="4" t="str">
        <f t="shared" si="8"/>
        <v>True</v>
      </c>
      <c r="T166" s="4" t="str">
        <f>IFERROR(__xludf.DUMMYFUNCTION("CONCATENATE(if(REGEXMATCH(C166,""R""),"" Red"",""""),if(REGEXMATCH(C166,""O""),"" Orange"",""""),if(REGEXMATCH(C166,""Y""),"" Yellow"",""""),if(REGEXMATCH(C166,""G""),"" Green"",""""),if(REGEXMATCH(C166,""B""),"" Blue"",""""),if(REGEXMATCH(C166,""P""),"" "&amp;"Purple"",""""))")," Yellow")</f>
        <v>Yellow</v>
      </c>
      <c r="U166" s="4" t="str">
        <f>IFERROR(__xludf.DUMMYFUNCTION("TRIM(CONCAT(""[right]"", REGEXREPLACE(C166, ""([ROYGBPXZC_]|1?[0-9])"", ""[img=119]res://textures/icons/$0.png[/img]\\n"")))"),"[right][img=119]res://textures/icons/3.png[/img]\n[img=119]res://textures/icons/Y.png[/img]\n")</f>
        <v>[right][img=119]res://textures/icons/3.png[/img]\n[img=119]res://textures/icons/Y.png[/img]\n</v>
      </c>
      <c r="V166" s="4" t="str">
        <f>IFERROR(__xludf.DUMMYFUNCTION("SUBSTITUTE(SUBSTITUTE(SUBSTITUTE(SUBSTITUTE(REGEXREPLACE(SUBSTITUTE(SUBSTITUTE(SUBSTITUTE(SUBSTITUTE(REGEXREPLACE(I166, ""(\[([ROYGBPTQUXZC_]|1?[0-9])\])"", ""[img=45]res://textures/icons/$2.png[/img]""),""--"",""—""),""-&gt;"",""•""),""~@"", CONCATENATE(""["&amp;"i]"",REGEXEXTRACT(B166,""^([\s\S]*),|$""),""[/i]"")),""~"", CONCATENATE(""[i]"",B166,""[/i]"")),""(\([\s\S]*?\))"",""[i][color=#34343A]$0[/color][/i]""), ""&lt;"", ""[""), ""&gt;"", ""]""), ""[/p][p]"", ""[font_size=15]\n\n[/font_size]""), ""[br/]"", ""\n"")"),"[center][u]Mob[/u] [i][color=#34343A](You may assign any number of mob combatants you control to a unit. Any number of your opponent's combatants may intercept these units. You, not your opponent, choose how combat damage is divided among the intercepted "&amp;"and intercepting mob units you control.)[/color][/i][/center][p]When [i]Unpeaceful Protestors[/i] enters the battlefield, they deal 5 damage to each player who doesn't control a Mob.[/p]")</f>
        <v xml:space="preserve">[center][u]Mob[/u] [i][color=#34343A](You may assign any number of mob combatants you control to a unit. Any number of your opponent's combatants may intercept these units. You, not your opponent, choose how combat damage is divided among the intercepted and intercepting mob units you control.)[/color][/i][/center][p]When [i]Unpeaceful Protestors[/i] enters the battlefield, they deal 5 damage to each player who doesn't control a Mob.[/p]</v>
      </c>
      <c r="W166" s="4" t="str">
        <f t="shared" si="9"/>
        <v>[i]Asset[/i]</v>
      </c>
      <c r="X166" s="4" t="str">
        <f t="shared" si="10"/>
        <v>RT_YC_019</v>
      </c>
    </row>
    <row r="167" outlineLevel="1">
      <c r="A167" s="1" t="s">
        <v>674</v>
      </c>
      <c r="B167" s="1" t="str">
        <f t="shared" si="7"/>
        <v>YC_020</v>
      </c>
      <c r="C167" s="2"/>
      <c r="D167" s="6" t="str">
        <f>IFERROR(__xludf.DUMMYFUNCTION("IF(EQ(A167,B167),"""",SWITCH(IF(T167="""",0,COUNTA(SPLIT(T167,"" ""))),0,""Generic"",1,TRIM(T167),2,""Multicolor"",3,""Multicolor"",4,""Multicolor"",5,""Multicolor"",6,""Multicolor"",7,""Multicolor"",8,""Multicolor""))"),"")</f>
        <v/>
      </c>
      <c r="E167" s="1"/>
      <c r="F167" s="1"/>
      <c r="H167" s="2"/>
      <c r="I167" s="3"/>
      <c r="J167" s="3"/>
      <c r="O167" s="3"/>
      <c r="Q167" s="1">
        <v>60</v>
      </c>
      <c r="R167" s="1">
        <v>50</v>
      </c>
      <c r="S167" s="4" t="str">
        <f t="shared" si="8"/>
        <v>False</v>
      </c>
      <c r="T167" s="4" t="str">
        <f>IFERROR(__xludf.DUMMYFUNCTION("CONCATENATE(if(REGEXMATCH(C167,""R""),"" Red"",""""),if(REGEXMATCH(C167,""O""),"" Orange"",""""),if(REGEXMATCH(C167,""Y""),"" Yellow"",""""),if(REGEXMATCH(C167,""G""),"" Green"",""""),if(REGEXMATCH(C167,""B""),"" Blue"",""""),if(REGEXMATCH(C167,""P""),"" "&amp;"Purple"",""""))"),"")</f>
        <v/>
      </c>
      <c r="U167" s="4" t="str">
        <f>IFERROR(__xludf.DUMMYFUNCTION("TRIM(CONCAT(""[right]"", REGEXREPLACE(C167, ""([ROYGBPXZC_]|1?[0-9])"", ""[img=119]res://textures/icons/$0.png[/img]\\n"")))"),"[right]")</f>
        <v>[right]</v>
      </c>
      <c r="V167" s="4" t="str">
        <f>IFERROR(__xludf.DUMMYFUNCTION("SUBSTITUTE(SUBSTITUTE(SUBSTITUTE(SUBSTITUTE(REGEXREPLACE(SUBSTITUTE(SUBSTITUTE(SUBSTITUTE(SUBSTITUTE(REGEXREPLACE(I167, ""(\[([ROYGBPTQUXZC_]|1?[0-9])\])"", ""[img=45]res://textures/icons/$2.png[/img]""),""--"",""—""),""-&gt;"",""•""),""~@"", CONCATENATE(""["&amp;"i]"",REGEXEXTRACT(B167,""^([\s\S]*),|$""),""[/i]"")),""~"", CONCATENATE(""[i]"",B167,""[/i]"")),""(\([\s\S]*?\))"",""[i][color=#34343A]$0[/color][/i]""), ""&lt;"", ""[""), ""&gt;"", ""]""), ""[/p][p]"", ""[font_size=15]\n\n[/font_size]""), ""[br/]"", ""\n"")"),"")</f>
        <v/>
      </c>
      <c r="W167" s="4" t="str">
        <f t="shared" si="9"/>
        <v>[i][/i]</v>
      </c>
      <c r="X167" s="4" t="str">
        <f t="shared" si="10"/>
        <v>0</v>
      </c>
    </row>
    <row r="168" outlineLevel="1">
      <c r="A168" s="1" t="s">
        <v>675</v>
      </c>
      <c r="B168" s="1" t="str">
        <f t="shared" si="7"/>
        <v>YC_021</v>
      </c>
      <c r="C168" s="2"/>
      <c r="D168" s="6" t="str">
        <f>IFERROR(__xludf.DUMMYFUNCTION("IF(EQ(A168,B168),"""",SWITCH(IF(T168="""",0,COUNTA(SPLIT(T168,"" ""))),0,""Generic"",1,TRIM(T168),2,""Multicolor"",3,""Multicolor"",4,""Multicolor"",5,""Multicolor"",6,""Multicolor"",7,""Multicolor"",8,""Multicolor""))"),"")</f>
        <v/>
      </c>
      <c r="E168" s="1"/>
      <c r="F168" s="1"/>
      <c r="H168" s="2"/>
      <c r="I168" s="3"/>
      <c r="J168" s="3"/>
      <c r="O168" s="3"/>
      <c r="Q168" s="1">
        <v>60</v>
      </c>
      <c r="R168" s="1">
        <v>50</v>
      </c>
      <c r="S168" s="4" t="str">
        <f t="shared" si="8"/>
        <v>False</v>
      </c>
      <c r="T168" s="4" t="str">
        <f>IFERROR(__xludf.DUMMYFUNCTION("CONCATENATE(if(REGEXMATCH(C168,""R""),"" Red"",""""),if(REGEXMATCH(C168,""O""),"" Orange"",""""),if(REGEXMATCH(C168,""Y""),"" Yellow"",""""),if(REGEXMATCH(C168,""G""),"" Green"",""""),if(REGEXMATCH(C168,""B""),"" Blue"",""""),if(REGEXMATCH(C168,""P""),"" "&amp;"Purple"",""""))"),"")</f>
        <v/>
      </c>
      <c r="U168" s="4" t="str">
        <f>IFERROR(__xludf.DUMMYFUNCTION("TRIM(CONCAT(""[right]"", REGEXREPLACE(C168, ""([ROYGBPXZC_]|1?[0-9])"", ""[img=119]res://textures/icons/$0.png[/img]\\n"")))"),"[right]")</f>
        <v>[right]</v>
      </c>
      <c r="V168" s="4" t="str">
        <f>IFERROR(__xludf.DUMMYFUNCTION("SUBSTITUTE(SUBSTITUTE(SUBSTITUTE(SUBSTITUTE(REGEXREPLACE(SUBSTITUTE(SUBSTITUTE(SUBSTITUTE(SUBSTITUTE(REGEXREPLACE(I168, ""(\[([ROYGBPTQUXZC_]|1?[0-9])\])"", ""[img=45]res://textures/icons/$2.png[/img]""),""--"",""—""),""-&gt;"",""•""),""~@"", CONCATENATE(""["&amp;"i]"",REGEXEXTRACT(B168,""^([\s\S]*),|$""),""[/i]"")),""~"", CONCATENATE(""[i]"",B168,""[/i]"")),""(\([\s\S]*?\))"",""[i][color=#34343A]$0[/color][/i]""), ""&lt;"", ""[""), ""&gt;"", ""]""), ""[/p][p]"", ""[font_size=15]\n\n[/font_size]""), ""[br/]"", ""\n"")"),"")</f>
        <v/>
      </c>
      <c r="W168" s="4" t="str">
        <f t="shared" si="9"/>
        <v>[i][/i]</v>
      </c>
      <c r="X168" s="4" t="str">
        <f t="shared" si="10"/>
        <v>0</v>
      </c>
    </row>
    <row r="169" outlineLevel="1">
      <c r="A169" s="1" t="s">
        <v>676</v>
      </c>
      <c r="B169" s="1" t="str">
        <f t="shared" si="7"/>
        <v>YC_022</v>
      </c>
      <c r="C169" s="2"/>
      <c r="D169" s="6" t="str">
        <f>IFERROR(__xludf.DUMMYFUNCTION("IF(EQ(A169,B169),"""",SWITCH(IF(T169="""",0,COUNTA(SPLIT(T169,"" ""))),0,""Generic"",1,TRIM(T169),2,""Multicolor"",3,""Multicolor"",4,""Multicolor"",5,""Multicolor"",6,""Multicolor"",7,""Multicolor"",8,""Multicolor""))"),"")</f>
        <v/>
      </c>
      <c r="E169" s="1"/>
      <c r="F169" s="1"/>
      <c r="H169" s="2"/>
      <c r="I169" s="3"/>
      <c r="J169" s="3"/>
      <c r="O169" s="3"/>
      <c r="Q169" s="1">
        <v>60</v>
      </c>
      <c r="R169" s="1">
        <v>50</v>
      </c>
      <c r="S169" s="4" t="str">
        <f t="shared" si="8"/>
        <v>False</v>
      </c>
      <c r="T169" s="4" t="str">
        <f>IFERROR(__xludf.DUMMYFUNCTION("CONCATENATE(if(REGEXMATCH(C169,""R""),"" Red"",""""),if(REGEXMATCH(C169,""O""),"" Orange"",""""),if(REGEXMATCH(C169,""Y""),"" Yellow"",""""),if(REGEXMATCH(C169,""G""),"" Green"",""""),if(REGEXMATCH(C169,""B""),"" Blue"",""""),if(REGEXMATCH(C169,""P""),"" "&amp;"Purple"",""""))"),"")</f>
        <v/>
      </c>
      <c r="U169" s="4" t="str">
        <f>IFERROR(__xludf.DUMMYFUNCTION("TRIM(CONCAT(""[right]"", REGEXREPLACE(C169, ""([ROYGBPXZC_]|1?[0-9])"", ""[img=119]res://textures/icons/$0.png[/img]\\n"")))"),"[right]")</f>
        <v>[right]</v>
      </c>
      <c r="V169" s="4" t="str">
        <f>IFERROR(__xludf.DUMMYFUNCTION("SUBSTITUTE(SUBSTITUTE(SUBSTITUTE(SUBSTITUTE(REGEXREPLACE(SUBSTITUTE(SUBSTITUTE(SUBSTITUTE(SUBSTITUTE(REGEXREPLACE(I169, ""(\[([ROYGBPTQUXZC_]|1?[0-9])\])"", ""[img=45]res://textures/icons/$2.png[/img]""),""--"",""—""),""-&gt;"",""•""),""~@"", CONCATENATE(""["&amp;"i]"",REGEXEXTRACT(B169,""^([\s\S]*),|$""),""[/i]"")),""~"", CONCATENATE(""[i]"",B169,""[/i]"")),""(\([\s\S]*?\))"",""[i][color=#34343A]$0[/color][/i]""), ""&lt;"", ""[""), ""&gt;"", ""]""), ""[/p][p]"", ""[font_size=15]\n\n[/font_size]""), ""[br/]"", ""\n"")"),"")</f>
        <v/>
      </c>
      <c r="W169" s="4" t="str">
        <f t="shared" si="9"/>
        <v>[i][/i]</v>
      </c>
      <c r="X169" s="4" t="str">
        <f t="shared" si="10"/>
        <v>0</v>
      </c>
    </row>
    <row r="170">
      <c r="A170" s="1" t="s">
        <v>677</v>
      </c>
      <c r="B170" s="1" t="str">
        <f t="shared" si="7"/>
        <v>YC_023</v>
      </c>
      <c r="C170" s="2"/>
      <c r="D170" s="6" t="str">
        <f>IFERROR(__xludf.DUMMYFUNCTION("IF(EQ(A170,B170),"""",SWITCH(IF(T170="""",0,COUNTA(SPLIT(T170,"" ""))),0,""Generic"",1,TRIM(T170),2,""Multicolor"",3,""Multicolor"",4,""Multicolor"",5,""Multicolor"",6,""Multicolor"",7,""Multicolor"",8,""Multicolor""))"),"")</f>
        <v/>
      </c>
      <c r="E170" s="1"/>
      <c r="F170" s="1"/>
      <c r="H170" s="2"/>
      <c r="I170" s="3"/>
      <c r="J170" s="3"/>
      <c r="O170" s="3"/>
      <c r="Q170" s="1">
        <v>60</v>
      </c>
      <c r="R170" s="1">
        <v>50</v>
      </c>
      <c r="S170" s="4" t="str">
        <f t="shared" si="8"/>
        <v>False</v>
      </c>
      <c r="T170" s="4" t="str">
        <f>IFERROR(__xludf.DUMMYFUNCTION("CONCATENATE(if(REGEXMATCH(C170,""R""),"" Red"",""""),if(REGEXMATCH(C170,""O""),"" Orange"",""""),if(REGEXMATCH(C170,""Y""),"" Yellow"",""""),if(REGEXMATCH(C170,""G""),"" Green"",""""),if(REGEXMATCH(C170,""B""),"" Blue"",""""),if(REGEXMATCH(C170,""P""),"" "&amp;"Purple"",""""))"),"")</f>
        <v/>
      </c>
      <c r="U170" s="4" t="str">
        <f>IFERROR(__xludf.DUMMYFUNCTION("TRIM(CONCAT(""[right]"", REGEXREPLACE(C170, ""([ROYGBPXZC_]|1?[0-9])"", ""[img=119]res://textures/icons/$0.png[/img]\\n"")))"),"[right]")</f>
        <v>[right]</v>
      </c>
      <c r="V170" s="4" t="str">
        <f>IFERROR(__xludf.DUMMYFUNCTION("SUBSTITUTE(SUBSTITUTE(SUBSTITUTE(SUBSTITUTE(REGEXREPLACE(SUBSTITUTE(SUBSTITUTE(SUBSTITUTE(SUBSTITUTE(REGEXREPLACE(I170, ""(\[([ROYGBPTQUXZC_]|1?[0-9])\])"", ""[img=45]res://textures/icons/$2.png[/img]""),""--"",""—""),""-&gt;"",""•""),""~@"", CONCATENATE(""["&amp;"i]"",REGEXEXTRACT(B170,""^([\s\S]*),|$""),""[/i]"")),""~"", CONCATENATE(""[i]"",B170,""[/i]"")),""(\([\s\S]*?\))"",""[i][color=#34343A]$0[/color][/i]""), ""&lt;"", ""[""), ""&gt;"", ""]""), ""[/p][p]"", ""[font_size=15]\n\n[/font_size]""), ""[br/]"", ""\n"")"),"")</f>
        <v/>
      </c>
      <c r="W170" s="4" t="str">
        <f t="shared" si="9"/>
        <v>[i][/i]</v>
      </c>
      <c r="X170" s="4" t="str">
        <f t="shared" si="10"/>
        <v>0</v>
      </c>
    </row>
    <row r="171" outlineLevel="1">
      <c r="A171" s="1" t="s">
        <v>678</v>
      </c>
      <c r="B171" s="1" t="str">
        <f t="shared" si="7"/>
        <v>YC_024</v>
      </c>
      <c r="C171" s="2"/>
      <c r="D171" s="6" t="str">
        <f>IFERROR(__xludf.DUMMYFUNCTION("IF(EQ(A171,B171),"""",SWITCH(IF(T171="""",0,COUNTA(SPLIT(T171,"" ""))),0,""Generic"",1,TRIM(T171),2,""Multicolor"",3,""Multicolor"",4,""Multicolor"",5,""Multicolor"",6,""Multicolor"",7,""Multicolor"",8,""Multicolor""))"),"")</f>
        <v/>
      </c>
      <c r="E171" s="1"/>
      <c r="F171" s="1"/>
      <c r="H171" s="2"/>
      <c r="I171" s="3"/>
      <c r="J171" s="3"/>
      <c r="O171" s="3"/>
      <c r="Q171" s="1">
        <v>60</v>
      </c>
      <c r="R171" s="1">
        <v>50</v>
      </c>
      <c r="S171" s="4" t="str">
        <f t="shared" si="8"/>
        <v>False</v>
      </c>
      <c r="T171" s="4" t="str">
        <f>IFERROR(__xludf.DUMMYFUNCTION("CONCATENATE(if(REGEXMATCH(C171,""R""),"" Red"",""""),if(REGEXMATCH(C171,""O""),"" Orange"",""""),if(REGEXMATCH(C171,""Y""),"" Yellow"",""""),if(REGEXMATCH(C171,""G""),"" Green"",""""),if(REGEXMATCH(C171,""B""),"" Blue"",""""),if(REGEXMATCH(C171,""P""),"" "&amp;"Purple"",""""))"),"")</f>
        <v/>
      </c>
      <c r="U171" s="4" t="str">
        <f>IFERROR(__xludf.DUMMYFUNCTION("TRIM(CONCAT(""[right]"", REGEXREPLACE(C171, ""([ROYGBPXZC_]|1?[0-9])"", ""[img=119]res://textures/icons/$0.png[/img]\\n"")))"),"[right]")</f>
        <v>[right]</v>
      </c>
      <c r="V171" s="4" t="str">
        <f>IFERROR(__xludf.DUMMYFUNCTION("SUBSTITUTE(SUBSTITUTE(SUBSTITUTE(SUBSTITUTE(REGEXREPLACE(SUBSTITUTE(SUBSTITUTE(SUBSTITUTE(SUBSTITUTE(REGEXREPLACE(I171, ""(\[([ROYGBPTQUXZC_]|1?[0-9])\])"", ""[img=45]res://textures/icons/$2.png[/img]""),""--"",""—""),""-&gt;"",""•""),""~@"", CONCATENATE(""["&amp;"i]"",REGEXEXTRACT(B171,""^([\s\S]*),|$""),""[/i]"")),""~"", CONCATENATE(""[i]"",B171,""[/i]"")),""(\([\s\S]*?\))"",""[i][color=#34343A]$0[/color][/i]""), ""&lt;"", ""[""), ""&gt;"", ""]""), ""[/p][p]"", ""[font_size=15]\n\n[/font_size]""), ""[br/]"", ""\n"")"),"")</f>
        <v/>
      </c>
      <c r="W171" s="4" t="str">
        <f t="shared" si="9"/>
        <v>[i][/i]</v>
      </c>
      <c r="X171" s="4" t="str">
        <f t="shared" si="10"/>
        <v>0</v>
      </c>
    </row>
    <row r="172" outlineLevel="1">
      <c r="A172" s="9" t="s">
        <v>679</v>
      </c>
      <c r="B172" s="1" t="s">
        <v>680</v>
      </c>
      <c r="C172" s="5" t="s">
        <v>681</v>
      </c>
      <c r="D172" s="6" t="str">
        <f>IFERROR(__xludf.DUMMYFUNCTION("IF(EQ(A172,B172),"""",SWITCH(IF(T172="""",0,COUNTA(SPLIT(T172,"" ""))),0,""Generic"",1,TRIM(T172),2,""Multicolor"",3,""Multicolor"",4,""Multicolor"",5,""Multicolor"",6,""Multicolor"",7,""Multicolor"",8,""Multicolor""))"),"Green")</f>
        <v>Green</v>
      </c>
      <c r="E172" s="4"/>
      <c r="F172" s="4" t="s">
        <v>73</v>
      </c>
      <c r="G172" s="4" t="s">
        <v>682</v>
      </c>
      <c r="H172" s="5" t="s">
        <v>96</v>
      </c>
      <c r="I172" s="7" t="s">
        <v>683</v>
      </c>
      <c r="J172" s="7" t="s">
        <v>684</v>
      </c>
      <c r="O172" s="3"/>
      <c r="Q172" s="1">
        <v>45</v>
      </c>
      <c r="R172" s="1">
        <v>50</v>
      </c>
      <c r="S172" s="4" t="str">
        <f t="shared" si="8"/>
        <v>False</v>
      </c>
      <c r="T172" s="4" t="str">
        <f>IFERROR(__xludf.DUMMYFUNCTION("CONCATENATE(if(REGEXMATCH(C172,""R""),"" Red"",""""),if(REGEXMATCH(C172,""O""),"" Orange"",""""),if(REGEXMATCH(C172,""Y""),"" Yellow"",""""),if(REGEXMATCH(C172,""G""),"" Green"",""""),if(REGEXMATCH(C172,""B""),"" Blue"",""""),if(REGEXMATCH(C172,""P""),"" "&amp;"Purple"",""""))")," Green")</f>
        <v>Green</v>
      </c>
      <c r="U172" s="4" t="str">
        <f>IFERROR(__xludf.DUMMYFUNCTION("TRIM(CONCAT(""[right]"", REGEXREPLACE(C172, ""([ROYGBPXZC_]|1?[0-9])"", ""[img=119]res://textures/icons/$0.png[/img]\\n"")))"),"[right][img=119]res://textures/icons/2.png[/img]\n[img=119]res://textures/icons/G.png[/img]\n[img=119]res://textures/icons/G.png[/img]\n")</f>
        <v>[right][img=119]res://textures/icons/2.png[/img]\n[img=119]res://textures/icons/G.png[/img]\n[img=119]res://textures/icons/G.png[/img]\n</v>
      </c>
      <c r="V172" s="4" t="str">
        <f>IFERROR(__xludf.DUMMYFUNCTION("SUBSTITUTE(SUBSTITUTE(SUBSTITUTE(SUBSTITUTE(REGEXREPLACE(SUBSTITUTE(SUBSTITUTE(SUBSTITUTE(SUBSTITUTE(REGEXREPLACE(I172, ""(\[([ROYGBPTQUXZC_]|1?[0-9])\])"", ""[img=45]res://textures/icons/$2.png[/img]""),""--"",""—""),""-&gt;"",""•""),""~@"", CONCATENATE(""["&amp;"i]"",REGEXEXTRACT(B172,""^([\s\S]*),|$""),""[/i]"")),""~"", CONCATENATE(""[i]"",B172,""[/i]"")),""(\([\s\S]*?\))"",""[i][color=#34343A]$0[/color][/i]""), ""&lt;"", ""[""), ""&gt;"", ""]""), ""[/p][p]"", ""[font_size=15]\n\n[/font_size]""), ""[br/]"", ""\n"")"),"[center][i][color=#34343A](Becomes [i]'Peace in Troubled Times'[/i] if you already control [i]L.O.K.I.O, Logistics AI[/i].)[/color][/i][/center][p][b][i]As Commander[/i] —[/b] Whenever you have the option to hire a card as a generator, you may instead ret"&amp;"urn a generator you control to your hand.[font_size=15]\n\n[/font_size][b][i]As Asset[/i] —[/b] Each time [i]L.O.K.I.O[/i] has seen you hire 2 cards as generators, draw a card.[font_size=15]\n\n[/font_size]If [i]L.O.K.I.O[/i] is inside a vehicle it gains,"&amp;" ""[img=45]res://textures/icons/T.png[/img]: Choose an asset; exhaust or refresh it.""[/p]")</f>
        <v xml:space="preserve">[center][i][color=#34343A](Becomes [i]'Peace in Troubled Times'[/i] if you already control [i]L.O.K.I.O, Logistics AI[/i].)[/color][/i][/center][p][b][i]As Commander[/i] —[/b] Whenever you have the option to hire a card as a generator, you may instead return a generator you control to your hand.[font_size=15]\n\n[/font_size][b][i]As Asset[/i] —[/b] Each time [i]L.O.K.I.O[/i] has seen you hire 2 cards as generators, draw a card.[font_size=15]\n\n[/font_size]If [i]L.O.K.I.O[/i] is inside a vehicle it gains, "[img=45]res://textures/icons/T.png[/img]: Choose an asset; exhaust or refresh it."[/p]</v>
      </c>
      <c r="W172" s="4" t="str">
        <f t="shared" si="9"/>
        <v>[i]Commander[/i]</v>
      </c>
      <c r="X172" s="4" t="str">
        <f t="shared" si="10"/>
        <v>RT_G_CMDR_1</v>
      </c>
    </row>
    <row r="173" outlineLevel="1">
      <c r="A173" s="1" t="s">
        <v>685</v>
      </c>
      <c r="B173" s="4" t="s">
        <v>686</v>
      </c>
      <c r="C173" s="5" t="s">
        <v>687</v>
      </c>
      <c r="D173" s="6" t="str">
        <f>IFERROR(__xludf.DUMMYFUNCTION("IF(ISBLANK(A173),"""",SWITCH(IF(T173="""",0,COUNTA(SPLIT(T173,"" ""))),0,""Generic"",1,TRIM(T173),2,""Multicolor"",3,""Multicolor"",4,""Multicolor"",5,""Multicolor"",6,""Multicolor"",7,""Multicolor"",8,""Multicolor""))"),"Green")</f>
        <v>Green</v>
      </c>
      <c r="E173" s="4"/>
      <c r="F173" s="4" t="s">
        <v>87</v>
      </c>
      <c r="G173" s="4" t="s">
        <v>203</v>
      </c>
      <c r="H173" s="5" t="s">
        <v>25</v>
      </c>
      <c r="I173" s="10" t="s">
        <v>688</v>
      </c>
      <c r="J173" s="7" t="s">
        <v>689</v>
      </c>
      <c r="O173" s="3"/>
      <c r="Q173" s="1">
        <v>50</v>
      </c>
      <c r="R173" s="1">
        <v>45</v>
      </c>
      <c r="S173" s="4" t="str">
        <f t="shared" si="8"/>
        <v>False</v>
      </c>
      <c r="T173" s="4" t="str">
        <f>IFERROR(__xludf.DUMMYFUNCTION("CONCATENATE(if(REGEXMATCH(C173,""R""),"" Red"",""""),if(REGEXMATCH(C173,""O""),"" Orange"",""""),if(REGEXMATCH(C173,""Y""),"" Yellow"",""""),if(REGEXMATCH(C173,""G""),"" Green"",""""),if(REGEXMATCH(C173,""B""),"" Blue"",""""),if(REGEXMATCH(C173,""P""),"" "&amp;"Purple"",""""))")," Green")</f>
        <v>Green</v>
      </c>
      <c r="U173" s="4" t="str">
        <f>IFERROR(__xludf.DUMMYFUNCTION("TRIM(CONCAT(""[right]"", REGEXREPLACE(C173, ""([ROYGBPXZC_]|1?[0-9])"", ""[img=119]res://textures/icons/$0.png[/img]\\n"")))"),"[right][img=119]res://textures/icons/3.png[/img]\n[img=119]res://textures/icons/G.png[/img]\n[img=119]res://textures/icons/G.png[/img]\n")</f>
        <v>[right][img=119]res://textures/icons/3.png[/img]\n[img=119]res://textures/icons/G.png[/img]\n[img=119]res://textures/icons/G.png[/img]\n</v>
      </c>
      <c r="V173" s="4" t="str">
        <f>IFERROR(__xludf.DUMMYFUNCTION("SUBSTITUTE(SUBSTITUTE(SUBSTITUTE(SUBSTITUTE(REGEXREPLACE(SUBSTITUTE(SUBSTITUTE(SUBSTITUTE(SUBSTITUTE(REGEXREPLACE(I173, ""(\[([ROYGBPTQUXZC_]|1?[0-9])\])"", ""[img=45]res://textures/icons/$2.png[/img]""),""--"",""—""),""-&gt;"",""•""),""~@"", CONCATENATE(""["&amp;"i]"",REGEXEXTRACT(B173,""^([\s\S]*),|$""),""[/i]"")),""~"", CONCATENATE(""[i]"",B173,""[/i]"")),""(\([\s\S]*?\))"",""[i][color=#34343A]$0[/color][/i]""), ""&lt;"", ""[""), ""&gt;"", ""]""), ""[/p][p]"", ""[font_size=15]\n\n[/font_size]""), ""[br/]"", ""\n"")"),"[center][i][color=#34343A](This effect can only be deployed if you control a renowned asset. Banked energy can't be spent to deploy renowned cards.)[/color][/i][/center][p]Each commander's loyalty is doubled, up to their starting loyalty.[font_size=15]\n\"&amp;"n[/font_size]Prevent all damage that would be dealt this turn.[font_size=15]\n\n[/font_size][u]Personal[/u] [i][color=#34343A](Shuffle [i]'L.O.K.I.O, Logistics AI'[/i] into your deck.)[/color][/i][/p]")</f>
        <v xml:space="preserve">[center][i][color=#34343A](This effect can only be deployed if you control a renowned asset. Banked energy can't be spent to deploy renowned cards.)[/color][/i][/center][p]Each commander's loyalty is doubled, up to their starting loyalty.[font_size=15]\n\n[/font_size]Prevent all damage that would be dealt this turn.[font_size=15]\n\n[/font_size][u]Personal[/u] [i][color=#34343A](Shuffle [i]'L.O.K.I.O, Logistics AI'[/i] into your deck.)[/color][/i][/p]</v>
      </c>
      <c r="W173" s="4" t="str">
        <f t="shared" si="9"/>
        <v xml:space="preserve">[i]R. Effect[/i]</v>
      </c>
      <c r="X173" s="4" t="str">
        <f t="shared" si="10"/>
        <v>RT_G_CMDR_1b</v>
      </c>
      <c r="Y173" s="4"/>
    </row>
    <row r="174" outlineLevel="1">
      <c r="A174" s="1" t="s">
        <v>690</v>
      </c>
      <c r="B174" s="4" t="s">
        <v>691</v>
      </c>
      <c r="C174" s="5" t="s">
        <v>692</v>
      </c>
      <c r="D174" s="6" t="str">
        <f>IFERROR(__xludf.DUMMYFUNCTION("IF(EQ(A174,B174),"""",SWITCH(IF(T174="""",0,COUNTA(SPLIT(T174,"" ""))),0,""Generic"",1,TRIM(T174),2,""Multicolor"",3,""Multicolor"",4,""Multicolor"",5,""Multicolor"",6,""Multicolor"",7,""Multicolor"",8,""Multicolor""))"),"Green")</f>
        <v>Green</v>
      </c>
      <c r="E174" s="4"/>
      <c r="F174" s="4" t="s">
        <v>33</v>
      </c>
      <c r="G174" s="4"/>
      <c r="H174" s="5" t="s">
        <v>96</v>
      </c>
      <c r="I174" s="7" t="s">
        <v>693</v>
      </c>
      <c r="J174" s="3"/>
      <c r="O174" s="3"/>
      <c r="Q174" s="1">
        <v>60</v>
      </c>
      <c r="R174" s="1">
        <v>50</v>
      </c>
      <c r="S174" s="4" t="str">
        <f t="shared" si="8"/>
        <v>False</v>
      </c>
      <c r="T174" s="4" t="str">
        <f>IFERROR(__xludf.DUMMYFUNCTION("CONCATENATE(if(REGEXMATCH(C174,""R""),"" Red"",""""),if(REGEXMATCH(C174,""O""),"" Orange"",""""),if(REGEXMATCH(C174,""Y""),"" Yellow"",""""),if(REGEXMATCH(C174,""G""),"" Green"",""""),if(REGEXMATCH(C174,""B""),"" Blue"",""""),if(REGEXMATCH(C174,""P""),"" "&amp;"Purple"",""""))")," Green")</f>
        <v>Green</v>
      </c>
      <c r="U174" s="4" t="str">
        <f>IFERROR(__xludf.DUMMYFUNCTION("TRIM(CONCAT(""[right]"", REGEXREPLACE(C174, ""([ROYGBPXZC_]|1?[0-9])"", ""[img=119]res://textures/icons/$0.png[/img]\\n"")))"),"[right][img=119]res://textures/icons/2.png[/img]\n[img=119]res://textures/icons/G.png[/img]\n")</f>
        <v>[right][img=119]res://textures/icons/2.png[/img]\n[img=119]res://textures/icons/G.png[/img]\n</v>
      </c>
      <c r="V174" s="4" t="str">
        <f>IFERROR(__xludf.DUMMYFUNCTION("SUBSTITUTE(SUBSTITUTE(SUBSTITUTE(SUBSTITUTE(REGEXREPLACE(SUBSTITUTE(SUBSTITUTE(SUBSTITUTE(SUBSTITUTE(REGEXREPLACE(I174, ""(\[([ROYGBPTQUXZC_]|1?[0-9])\])"", ""[img=45]res://textures/icons/$2.png[/img]""),""--"",""—""),""-&gt;"",""•""),""~@"", CONCATENATE(""["&amp;"i]"",REGEXEXTRACT(B174,""^([\s\S]*),|$""),""[/i]"")),""~"", CONCATENATE(""[i]"",B174,""[/i]"")),""(\([\s\S]*?\))"",""[i][color=#34343A]$0[/color][/i]""), ""&lt;"", ""[""), ""&gt;"", ""]""), ""[/p][p]"", ""[font_size=15]\n\n[/font_size]""), ""[br/]"", ""\n"")"),"[center]Choose a card in your discard; return it to your hand.[/center]")</f>
        <v xml:space="preserve">[center]Choose a card in your discard; return it to your hand.[/center]</v>
      </c>
      <c r="W174" s="4" t="str">
        <f t="shared" si="9"/>
        <v>[i]Effect[/i]</v>
      </c>
      <c r="X174" s="4" t="str">
        <f t="shared" si="10"/>
        <v>RT_GR_001</v>
      </c>
    </row>
    <row r="175" outlineLevel="1">
      <c r="A175" s="1" t="s">
        <v>694</v>
      </c>
      <c r="B175" s="1" t="s">
        <v>695</v>
      </c>
      <c r="C175" s="1" t="s">
        <v>696</v>
      </c>
      <c r="D175" s="6" t="str">
        <f>IFERROR(__xludf.DUMMYFUNCTION("IF(EQ(A175,B175),"""",SWITCH(IF(T175="""",0,COUNTA(SPLIT(T175,"" ""))),0,""Generic"",1,TRIM(T175),2,""Multicolor"",3,""Multicolor"",4,""Multicolor"",5,""Multicolor"",6,""Multicolor"",7,""Multicolor"",8,""Multicolor""))"),"Green")</f>
        <v>Green</v>
      </c>
      <c r="E175" s="4"/>
      <c r="F175" s="4" t="s">
        <v>33</v>
      </c>
      <c r="H175" s="12">
        <v>10</v>
      </c>
      <c r="I175" s="3" t="s">
        <v>697</v>
      </c>
      <c r="J175" s="7"/>
      <c r="O175" s="3"/>
      <c r="Q175" s="1">
        <v>60</v>
      </c>
      <c r="R175" s="1">
        <v>50</v>
      </c>
      <c r="S175" s="4" t="str">
        <f t="shared" si="8"/>
        <v>False</v>
      </c>
      <c r="T175" s="4" t="str">
        <f>IFERROR(__xludf.DUMMYFUNCTION("CONCATENATE(if(REGEXMATCH(C175,""R""),"" Red"",""""),if(REGEXMATCH(C175,""O""),"" Orange"",""""),if(REGEXMATCH(C175,""Y""),"" Yellow"",""""),if(REGEXMATCH(C175,""G""),"" Green"",""""),if(REGEXMATCH(C175,""B""),"" Blue"",""""),if(REGEXMATCH(C175,""P""),"" "&amp;"Purple"",""""))")," Green")</f>
        <v>Green</v>
      </c>
      <c r="U175" s="4" t="str">
        <f>IFERROR(__xludf.DUMMYFUNCTION("TRIM(CONCAT(""[right]"", REGEXREPLACE(C175, ""([ROYGBPXZC_]|1?[0-9])"", ""[img=119]res://textures/icons/$0.png[/img]\\n"")))"),"[right][img=119]res://textures/icons/1.png[/img]\n[img=119]res://textures/icons/G.png[/img]\n[img=119]res://textures/icons/G.png[/img]\n")</f>
        <v>[right][img=119]res://textures/icons/1.png[/img]\n[img=119]res://textures/icons/G.png[/img]\n[img=119]res://textures/icons/G.png[/img]\n</v>
      </c>
      <c r="V175" s="4" t="str">
        <f>IFERROR(__xludf.DUMMYFUNCTION("SUBSTITUTE(SUBSTITUTE(SUBSTITUTE(SUBSTITUTE(REGEXREPLACE(SUBSTITUTE(SUBSTITUTE(SUBSTITUTE(SUBSTITUTE(REGEXREPLACE(I175, ""(\[([ROYGBPTQUXZC_]|1?[0-9])\])"", ""[img=45]res://textures/icons/$2.png[/img]""),""--"",""—""),""-&gt;"",""•""),""~@"", CONCATENATE(""["&amp;"i]"",REGEXEXTRACT(B175,""^([\s\S]*),|$""),""[/i]"")),""~"", CONCATENATE(""[i]"",B175,""[/i]"")),""(\([\s\S]*?\))"",""[i][color=#34343A]$0[/color][/i]""), ""&lt;"", ""[""), ""&gt;"", ""]""), ""[/p][p]"", ""[font_size=15]\n\n[/font_size]""), ""[br/]"", ""\n"")"),"Search your deck for a card, then shuffle your deck and put that card third from the top.")</f>
        <v xml:space="preserve">Search your deck for a card, then shuffle your deck and put that card third from the top.</v>
      </c>
      <c r="W175" s="4" t="str">
        <f t="shared" si="9"/>
        <v>[i]Effect[/i]</v>
      </c>
      <c r="X175" s="4" t="str">
        <f t="shared" si="10"/>
        <v>RT_GR_002</v>
      </c>
    </row>
    <row r="176" outlineLevel="1">
      <c r="A176" s="1" t="s">
        <v>698</v>
      </c>
      <c r="B176" s="1" t="s">
        <v>699</v>
      </c>
      <c r="C176" s="1" t="s">
        <v>700</v>
      </c>
      <c r="D176" s="6" t="str">
        <f>IFERROR(__xludf.DUMMYFUNCTION("IF(EQ(A176,B176),"""",SWITCH(IF(T176="""",0,COUNTA(SPLIT(T176,"" ""))),0,""Generic"",1,TRIM(T176),2,""Multicolor"",3,""Multicolor"",4,""Multicolor"",5,""Multicolor"",6,""Multicolor"",7,""Multicolor"",8,""Multicolor""))"),"Green")</f>
        <v>Green</v>
      </c>
      <c r="E176" s="4"/>
      <c r="F176" s="4" t="s">
        <v>26</v>
      </c>
      <c r="G176" s="1" t="s">
        <v>411</v>
      </c>
      <c r="H176" s="12">
        <v>10</v>
      </c>
      <c r="I176" s="11" t="s">
        <v>701</v>
      </c>
      <c r="J176" s="3"/>
      <c r="O176" s="3"/>
      <c r="Q176" s="1">
        <v>45</v>
      </c>
      <c r="R176" s="1">
        <v>50</v>
      </c>
      <c r="S176" s="4" t="str">
        <f t="shared" si="8"/>
        <v>False</v>
      </c>
      <c r="T176" s="4" t="str">
        <f>IFERROR(__xludf.DUMMYFUNCTION("CONCATENATE(if(REGEXMATCH(C176,""R""),"" Red"",""""),if(REGEXMATCH(C176,""O""),"" Orange"",""""),if(REGEXMATCH(C176,""Y""),"" Yellow"",""""),if(REGEXMATCH(C176,""G""),"" Green"",""""),if(REGEXMATCH(C176,""B""),"" Blue"",""""),if(REGEXMATCH(C176,""P""),"" "&amp;"Purple"",""""))")," Green")</f>
        <v>Green</v>
      </c>
      <c r="U176" s="4" t="str">
        <f>IFERROR(__xludf.DUMMYFUNCTION("TRIM(CONCAT(""[right]"", REGEXREPLACE(C176, ""([ROYGBPXZC_]|1?[0-9])"", ""[img=119]res://textures/icons/$0.png[/img]\\n"")))"),"[right][img=119]res://textures/icons/G.png[/img]\n[img=119]res://textures/icons/G.png[/img]\n")</f>
        <v>[right][img=119]res://textures/icons/G.png[/img]\n[img=119]res://textures/icons/G.png[/img]\n</v>
      </c>
      <c r="V176" s="4" t="str">
        <f>IFERROR(__xludf.DUMMYFUNCTION("SUBSTITUTE(SUBSTITUTE(SUBSTITUTE(SUBSTITUTE(REGEXREPLACE(SUBSTITUTE(SUBSTITUTE(SUBSTITUTE(SUBSTITUTE(REGEXREPLACE(I176, ""(\[([ROYGBPTQUXZC_]|1?[0-9])\])"", ""[img=45]res://textures/icons/$2.png[/img]""),""--"",""—""),""-&gt;"",""•""),""~@"", CONCATENATE(""["&amp;"i]"",REGEXEXTRACT(B176,""^([\s\S]*),|$""),""[/i]"")),""~"", CONCATENATE(""[i]"",B176,""[/i]"")),""(\([\s\S]*?\))"",""[i][color=#34343A]$0[/color][/i]""), ""&lt;"", ""[""), ""&gt;"", ""]""), ""[/p][p]"", ""[font_size=15]\n\n[/font_size]""), ""[br/]"", ""\n"")"),"[p]When [i]High-Explosive Grenade[/i] enters the battlefield, you may attach it to a combatant.[font_size=15]\n\n[/font_size][u]Throw[/u] [i][color=#34343A](Activate this ability only if attached to a combatant.)[/color][/i],[u]Forfeit[/u] [i][color=#3434"&amp;"3A](Put the specified card into its owner's discard.)[/color][/i] [i]High-Explosive Grenade[/i]: Choose a combatant; Return that combatant to its owner's hand it permanently gains -2/-2. [i]High-Explosive Grenade[/i] deals 2 damage to each combatant adjac"&amp;"ent to the chosen combatant.[font_size=15]\n\n[/font_size][u]Forfeit[/u] [i]High-Explosive Grenade[/i]: Add [img=45]res://textures/icons/G.png[/img][img=45]res://textures/icons/G.png[/img][img=45]res://textures/icons/G.png[/img][img=45]res://textures/icon"&amp;"s/G.png[/img].[/p]")</f>
        <v xml:space="preserve">[p]When [i]High-Explosive Grenade[/i] enters the battlefield, you may attach it to a combatant.[font_size=15]\n\n[/font_size][u]Throw[/u] [i][color=#34343A](Activate this ability only if attached to a combatant.)[/color][/i],[u]Forfeit[/u] [i][color=#34343A](Put the specified card into its owner's discard.)[/color][/i] [i]High-Explosive Grenade[/i]: Choose a combatant; Return that combatant to its owner's hand it permanently gains -2/-2. [i]High-Explosive Grenade[/i] deals 2 damage to each combatant adjacent to the chosen combatant.[font_size=15]\n\n[/font_size][u]Forfeit[/u] [i]High-Explosive Grenade[/i]: Add [img=45]res://textures/icons/G.png[/img][img=45]res://textures/icons/G.png[/img][img=45]res://textures/icons/G.png[/img][img=45]res://textures/icons/G.png[/img].[/p]</v>
      </c>
      <c r="W176" s="4" t="str">
        <f t="shared" si="9"/>
        <v>[i]Asset[/i]</v>
      </c>
      <c r="X176" s="4" t="str">
        <f t="shared" si="10"/>
        <v>RT_GR_003</v>
      </c>
      <c r="Y176" s="4"/>
      <c r="Z176" s="4"/>
      <c r="AA176" s="4"/>
      <c r="AB176" s="4"/>
    </row>
    <row r="177" outlineLevel="1">
      <c r="A177" s="1" t="s">
        <v>702</v>
      </c>
      <c r="B177" s="1" t="s">
        <v>703</v>
      </c>
      <c r="C177" s="1" t="s">
        <v>681</v>
      </c>
      <c r="D177" s="6" t="str">
        <f>IFERROR(__xludf.DUMMYFUNCTION("IF(EQ(A177,B177),"""",SWITCH(IF(T177="""",0,COUNTA(SPLIT(T177,"" ""))),0,""Generic"",1,TRIM(T177),2,""Multicolor"",3,""Multicolor"",4,""Multicolor"",5,""Multicolor"",6,""Multicolor"",7,""Multicolor"",8,""Multicolor""))"),"Green")</f>
        <v>Green</v>
      </c>
      <c r="E177" s="4"/>
      <c r="F177" s="4" t="s">
        <v>26</v>
      </c>
      <c r="G177" s="1" t="s">
        <v>704</v>
      </c>
      <c r="H177" s="12">
        <v>10</v>
      </c>
      <c r="I177" s="3" t="s">
        <v>705</v>
      </c>
      <c r="O177" s="3"/>
      <c r="Q177" s="1">
        <v>45</v>
      </c>
      <c r="R177" s="1">
        <v>50</v>
      </c>
      <c r="S177" s="4" t="str">
        <f t="shared" si="8"/>
        <v>False</v>
      </c>
      <c r="T177" s="4" t="str">
        <f>IFERROR(__xludf.DUMMYFUNCTION("CONCATENATE(if(REGEXMATCH(C177,""R""),"" Red"",""""),if(REGEXMATCH(C177,""O""),"" Orange"",""""),if(REGEXMATCH(C177,""Y""),"" Yellow"",""""),if(REGEXMATCH(C177,""G""),"" Green"",""""),if(REGEXMATCH(C177,""B""),"" Blue"",""""),if(REGEXMATCH(C177,""P""),"" "&amp;"Purple"",""""))")," Green")</f>
        <v>Green</v>
      </c>
      <c r="U177" s="4" t="str">
        <f>IFERROR(__xludf.DUMMYFUNCTION("TRIM(CONCAT(""[right]"", REGEXREPLACE(C177, ""([ROYGBPXZC_]|1?[0-9])"", ""[img=119]res://textures/icons/$0.png[/img]\\n"")))"),"[right][img=119]res://textures/icons/2.png[/img]\n[img=119]res://textures/icons/G.png[/img]\n[img=119]res://textures/icons/G.png[/img]\n")</f>
        <v>[right][img=119]res://textures/icons/2.png[/img]\n[img=119]res://textures/icons/G.png[/img]\n[img=119]res://textures/icons/G.png[/img]\n</v>
      </c>
      <c r="V177" s="4" t="str">
        <f>IFERROR(__xludf.DUMMYFUNCTION("SUBSTITUTE(SUBSTITUTE(SUBSTITUTE(SUBSTITUTE(REGEXREPLACE(SUBSTITUTE(SUBSTITUTE(SUBSTITUTE(SUBSTITUTE(REGEXREPLACE(I177, ""(\[([ROYGBPTQUXZC_]|1?[0-9])\])"", ""[img=45]res://textures/icons/$2.png[/img]""),""--"",""—""),""-&gt;"",""•""),""~@"", CONCATENATE(""["&amp;"i]"",REGEXEXTRACT(B177,""^([\s\S]*),|$""),""[/i]"")),""~"", CONCATENATE(""[i]"",B177,""[/i]"")),""(\([\s\S]*?\))"",""[i][color=#34343A]$0[/color][/i]""), ""&lt;"", ""[""), ""&gt;"", ""]""), ""[/p][p]"", ""[font_size=15]\n\n[/font_size]""), ""[br/]"", ""\n"")"),"[p]When [i]Life-Support Equipment[/i] enters the battlefield, attach it to a Human combatant on the battlefield or in a discard. [i]Life-Support Equipment[/i] isn't removed when the combatant enters a discard.[font_size=15]\n\n[/font_size]Whenever the att"&amp;"ached combatant is in a discard, return it to the battlefield with ""this card can't attack or intercept"" and ""at the beginning of your turn, remove this card from the game unless you pay its cost.""[/p]")</f>
        <v xml:space="preserve">[p]When [i]Life-Support Equipment[/i] enters the battlefield, attach it to a Human combatant on the battlefield or in a discard. [i]Life-Support Equipment[/i] isn't removed when the combatant enters a discard.[font_size=15]\n\n[/font_size]Whenever the attached combatant is in a discard, return it to the battlefield with "this card can't attack or intercept" and "at the beginning of your turn, remove this card from the game unless you pay its cost."[/p]</v>
      </c>
      <c r="W177" s="4" t="str">
        <f t="shared" si="9"/>
        <v>[i]Asset[/i]</v>
      </c>
      <c r="X177" s="4" t="str">
        <f t="shared" si="10"/>
        <v>RT_GR_004</v>
      </c>
    </row>
    <row r="178" outlineLevel="1">
      <c r="A178" s="4" t="s">
        <v>706</v>
      </c>
      <c r="B178" s="4" t="s">
        <v>707</v>
      </c>
      <c r="C178" s="5" t="s">
        <v>692</v>
      </c>
      <c r="D178" s="6" t="str">
        <f>IFERROR(__xludf.DUMMYFUNCTION("IF(EQ(A178,B178),"""",SWITCH(IF(T178="""",0,COUNTA(SPLIT(T178,"" ""))),0,""Generic"",1,TRIM(T178),2,""Multicolor"",3,""Multicolor"",4,""Multicolor"",5,""Multicolor"",6,""Multicolor"",7,""Multicolor"",8,""Multicolor""))"),"Green")</f>
        <v>Green</v>
      </c>
      <c r="E178" s="4"/>
      <c r="F178" s="4" t="s">
        <v>33</v>
      </c>
      <c r="G178" s="4" t="s">
        <v>320</v>
      </c>
      <c r="H178" s="5" t="s">
        <v>129</v>
      </c>
      <c r="I178" s="7" t="s">
        <v>708</v>
      </c>
      <c r="J178" s="7" t="s">
        <v>709</v>
      </c>
      <c r="K178" s="4" t="s">
        <v>29</v>
      </c>
      <c r="L178" s="4" t="s">
        <v>29</v>
      </c>
      <c r="M178" s="4"/>
      <c r="N178" s="4"/>
      <c r="O178" s="4"/>
      <c r="P178" s="4"/>
      <c r="Q178" s="8">
        <v>60</v>
      </c>
      <c r="R178" s="8">
        <v>50</v>
      </c>
      <c r="S178" s="4" t="str">
        <f t="shared" si="8"/>
        <v>False</v>
      </c>
      <c r="T178" s="4" t="str">
        <f>IFERROR(__xludf.DUMMYFUNCTION("CONCATENATE(if(REGEXMATCH(C178,""R""),"" Red"",""""),if(REGEXMATCH(C178,""O""),"" Orange"",""""),if(REGEXMATCH(C178,""Y""),"" Yellow"",""""),if(REGEXMATCH(C178,""G""),"" Green"",""""),if(REGEXMATCH(C178,""B""),"" Blue"",""""),if(REGEXMATCH(C178,""P""),"" "&amp;"Purple"",""""))")," Green")</f>
        <v>Green</v>
      </c>
      <c r="U178" s="4" t="str">
        <f>IFERROR(__xludf.DUMMYFUNCTION("TRIM(CONCAT(""[right]"", REGEXREPLACE(C178, ""([ROYGBPXZC_]|1?[0-9])"", ""[img=119]res://textures/icons/$0.png[/img]\\n"")))"),"[right][img=119]res://textures/icons/2.png[/img]\n[img=119]res://textures/icons/G.png[/img]\n")</f>
        <v>[right][img=119]res://textures/icons/2.png[/img]\n[img=119]res://textures/icons/G.png[/img]\n</v>
      </c>
      <c r="V178" s="4" t="str">
        <f>IFERROR(__xludf.DUMMYFUNCTION("SUBSTITUTE(SUBSTITUTE(SUBSTITUTE(SUBSTITUTE(REGEXREPLACE(SUBSTITUTE(SUBSTITUTE(SUBSTITUTE(SUBSTITUTE(REGEXREPLACE(I178, ""(\[([ROYGBPTQUXZC_]|1?[0-9])\])"", ""[img=45]res://textures/icons/$2.png[/img]""),""--"",""—""),""-&gt;"",""•""),""~@"", CONCATENATE(""["&amp;"i]"",REGEXEXTRACT(B178,""^([\s\S]*),|$""),""[/i]"")),""~"", CONCATENATE(""[i]"",B178,""[/i]"")),""(\([\s\S]*?\))"",""[i][color=#34343A]$0[/color][/i]""), ""&lt;"", ""[""), ""&gt;"", ""]""), ""[/p][p]"", ""[font_size=15]\n\n[/font_size]""), ""[br/]"", ""\n"")"),"[center]Put the bottom 2 cards of your deck into your hand.[/center]")</f>
        <v xml:space="preserve">[center]Put the bottom 2 cards of your deck into your hand.[/center]</v>
      </c>
      <c r="W178" s="4" t="str">
        <f t="shared" si="9"/>
        <v>[i]Effect[/i]</v>
      </c>
      <c r="X178" s="4" t="str">
        <f t="shared" si="10"/>
        <v>RT_GU_001</v>
      </c>
    </row>
    <row r="179" outlineLevel="1">
      <c r="A179" s="1" t="s">
        <v>710</v>
      </c>
      <c r="B179" s="1" t="s">
        <v>711</v>
      </c>
      <c r="C179" s="2" t="s">
        <v>712</v>
      </c>
      <c r="D179" s="6" t="str">
        <f>IFERROR(__xludf.DUMMYFUNCTION("IF(EQ(A179,B179),"""",SWITCH(IF(T179="""",0,COUNTA(SPLIT(T179,"" ""))),0,""Generic"",1,TRIM(T179),2,""Multicolor"",3,""Multicolor"",4,""Multicolor"",5,""Multicolor"",6,""Multicolor"",7,""Multicolor"",8,""Multicolor""))"),"Green")</f>
        <v>Green</v>
      </c>
      <c r="E179" s="1" t="s">
        <v>51</v>
      </c>
      <c r="F179" s="1" t="s">
        <v>26</v>
      </c>
      <c r="G179" s="1" t="s">
        <v>713</v>
      </c>
      <c r="H179" s="2" t="s">
        <v>129</v>
      </c>
      <c r="I179" s="11" t="s">
        <v>714</v>
      </c>
      <c r="J179" s="3"/>
      <c r="K179" s="1">
        <v>4</v>
      </c>
      <c r="L179" s="1">
        <v>8</v>
      </c>
      <c r="O179" s="3"/>
      <c r="Q179" s="1">
        <v>60</v>
      </c>
      <c r="R179" s="1">
        <v>50</v>
      </c>
      <c r="S179" s="4" t="str">
        <f t="shared" si="8"/>
        <v>True</v>
      </c>
      <c r="T179" s="4" t="str">
        <f>IFERROR(__xludf.DUMMYFUNCTION("CONCATENATE(if(REGEXMATCH(C179,""R""),"" Red"",""""),if(REGEXMATCH(C179,""O""),"" Orange"",""""),if(REGEXMATCH(C179,""Y""),"" Yellow"",""""),if(REGEXMATCH(C179,""G""),"" Green"",""""),if(REGEXMATCH(C179,""B""),"" Blue"",""""),if(REGEXMATCH(C179,""P""),"" "&amp;"Purple"",""""))")," Green")</f>
        <v>Green</v>
      </c>
      <c r="U179" s="4" t="str">
        <f>IFERROR(__xludf.DUMMYFUNCTION("TRIM(CONCAT(""[right]"", REGEXREPLACE(C179, ""([ROYGBPXZC_]|1?[0-9])"", ""[img=119]res://textures/icons/$0.png[/img]\\n"")))"),"[right][img=119]res://textures/icons/3.png[/img]\n[img=119]res://textures/icons/G.png[/img]\n")</f>
        <v>[right][img=119]res://textures/icons/3.png[/img]\n[img=119]res://textures/icons/G.png[/img]\n</v>
      </c>
      <c r="V179" s="4" t="str">
        <f>IFERROR(__xludf.DUMMYFUNCTION("SUBSTITUTE(SUBSTITUTE(SUBSTITUTE(SUBSTITUTE(REGEXREPLACE(SUBSTITUTE(SUBSTITUTE(SUBSTITUTE(SUBSTITUTE(REGEXREPLACE(I179, ""(\[([ROYGBPTQUXZC_]|1?[0-9])\])"", ""[img=45]res://textures/icons/$2.png[/img]""),""--"",""—""),""-&gt;"",""•""),""~@"", CONCATENATE(""["&amp;"i]"",REGEXEXTRACT(B179,""^([\s\S]*),|$""),""[/i]"")),""~"", CONCATENATE(""[i]"",B179,""[/i]"")),""(\([\s\S]*?\))"",""[i][color=#34343A]$0[/color][/i]""), ""&lt;"", ""[""), ""&gt;"", ""]""), ""[/p][p]"", ""[font_size=15]\n\n[/font_size]""), ""[br/]"", ""\n"")"),"[center][u]Vehicle[/u] [i][color=#34343A](When [i]Forklift[/i] enters the battlefield, you may choose another asset to attach it to. The combined unit has all effects of both assets, and the highest attack power, health, and ranged status of the two.)[/co"&amp;"lor][/i][/center]")</f>
        <v xml:space="preserve">[center][u]Vehicle[/u] [i][color=#34343A](When [i]Forklift[/i] enters the battlefield, you may choose another asset to attach it to. The combined unit has all effects of both assets, and the highest attack power, health, and ranged status of the two.)[/color][/i][/center]</v>
      </c>
      <c r="W179" s="4" t="str">
        <f t="shared" si="9"/>
        <v>[i]Asset[/i]</v>
      </c>
      <c r="X179" s="4" t="str">
        <f t="shared" si="10"/>
        <v>RT_GU_002</v>
      </c>
    </row>
    <row r="180" outlineLevel="1">
      <c r="A180" s="1" t="s">
        <v>715</v>
      </c>
      <c r="B180" s="4" t="s">
        <v>716</v>
      </c>
      <c r="C180" s="5" t="s">
        <v>692</v>
      </c>
      <c r="D180" s="6" t="str">
        <f>IFERROR(__xludf.DUMMYFUNCTION("IF(ISBLANK(A180),"""",SWITCH(IF(T180="""",0,COUNTA(SPLIT(T180,"" ""))),0,""Generic"",1,TRIM(T180),2,""Multicolor"",3,""Multicolor"",4,""Multicolor"",5,""Multicolor"",6,""Multicolor"",7,""Multicolor"",8,""Multicolor""))"),"Green")</f>
        <v>Green</v>
      </c>
      <c r="E180" s="4" t="s">
        <v>51</v>
      </c>
      <c r="F180" s="4" t="s">
        <v>26</v>
      </c>
      <c r="G180" s="4" t="s">
        <v>245</v>
      </c>
      <c r="H180" s="5" t="s">
        <v>129</v>
      </c>
      <c r="I180" s="7" t="s">
        <v>717</v>
      </c>
      <c r="J180" s="4"/>
      <c r="K180" s="8">
        <v>2</v>
      </c>
      <c r="L180" s="8">
        <v>2</v>
      </c>
      <c r="O180" s="3"/>
      <c r="Q180" s="1">
        <v>50</v>
      </c>
      <c r="R180" s="1">
        <v>40</v>
      </c>
      <c r="S180" s="4" t="str">
        <f t="shared" si="8"/>
        <v>True</v>
      </c>
      <c r="T180" s="4" t="str">
        <f>IFERROR(__xludf.DUMMYFUNCTION("CONCATENATE(if(REGEXMATCH(C180,""R""),"" Red"",""""),if(REGEXMATCH(C180,""O""),"" Orange"",""""),if(REGEXMATCH(C180,""Y""),"" Yellow"",""""),if(REGEXMATCH(C180,""G""),"" Green"",""""),if(REGEXMATCH(C180,""B""),"" Blue"",""""),if(REGEXMATCH(C180,""P""),"" "&amp;"Purple"",""""))")," Green")</f>
        <v>Green</v>
      </c>
      <c r="U180" s="4" t="str">
        <f>IFERROR(__xludf.DUMMYFUNCTION("TRIM(CONCAT(""[right]"", REGEXREPLACE(C180, ""([ROYGBPXZC_]|1?[0-9])"", ""[img=119]res://textures/icons/$0.png[/img]\\n"")))"),"[right][img=119]res://textures/icons/2.png[/img]\n[img=119]res://textures/icons/G.png[/img]\n")</f>
        <v>[right][img=119]res://textures/icons/2.png[/img]\n[img=119]res://textures/icons/G.png[/img]\n</v>
      </c>
      <c r="V180" s="4" t="str">
        <f>IFERROR(__xludf.DUMMYFUNCTION("SUBSTITUTE(SUBSTITUTE(SUBSTITUTE(SUBSTITUTE(REGEXREPLACE(SUBSTITUTE(SUBSTITUTE(SUBSTITUTE(SUBSTITUTE(REGEXREPLACE(I180, ""(\[([ROYGBPTQUXZC_]|1?[0-9])\])"", ""[img=45]res://textures/icons/$2.png[/img]""),""--"",""—""),""-&gt;"",""•""),""~@"", CONCATENATE(""["&amp;"i]"",REGEXEXTRACT(B180,""^([\s\S]*),|$""),""[/i]"")),""~"", CONCATENATE(""[i]"",B180,""[/i]"")),""(\([\s\S]*?\))"",""[i][color=#34343A]$0[/color][/i]""), ""&lt;"", ""[""), ""&gt;"", ""]""), ""[/p][p]"", ""[font_size=15]\n\n[/font_size]""), ""[br/]"", ""\n"")"),"[center][u]Quick Hire[/u][/center][p][img=45]res://textures/icons/T.png[/img]: Add [img=45]res://textures/icons/G.png[/img] to your energy bank.[font_size=15]\n\n[/font_size][img=45]res://textures/icons/3.png[/img], [img=45]res://textures/icons/T.png[/img"&amp;"]: Add 1 energy of each type a generator you control could produce to your energy bank.[font_size=15]\n\n[/font_size][u]Twice[/u] [i][color=#34343A](As you activate this effect for the second time, remove it from this card)[/color][/i], [img=45]res://text"&amp;"ures/icons/T.png[/img]: Choose a combatant; [u]fully Heal[/u] [i][color=#34343A](Remove all attack power and health reductions, and all damage from the specified asset.)[/color][/i] it.[/p]")</f>
        <v xml:space="preserve">[center][u]Quick Hire[/u][/center][p][img=45]res://textures/icons/T.png[/img]: Add [img=45]res://textures/icons/G.png[/img] to your energy bank.[font_size=15]\n\n[/font_size][img=45]res://textures/icons/3.png[/img], [img=45]res://textures/icons/T.png[/img]: Add 1 energy of each type a generator you control could produce to your energy bank.[font_size=15]\n\n[/font_size][u]Twice[/u] [i][color=#34343A](As you activate this effect for the second time, remove it from this card)[/color][/i], [img=45]res://textures/icons/T.png[/img]: Choose a combatant; [u]fully Heal[/u] [i][color=#34343A](Remove all attack power and health reductions, and all damage from the specified asset.)[/color][/i] it.[/p]</v>
      </c>
      <c r="W180" s="4" t="str">
        <f t="shared" si="9"/>
        <v>[i]Asset[/i]</v>
      </c>
      <c r="X180" s="4" t="str">
        <f t="shared" si="10"/>
        <v>RT_GU_003</v>
      </c>
    </row>
    <row r="181" outlineLevel="1">
      <c r="A181" s="1" t="s">
        <v>718</v>
      </c>
      <c r="B181" s="4" t="s">
        <v>719</v>
      </c>
      <c r="C181" s="5" t="s">
        <v>696</v>
      </c>
      <c r="D181" s="6" t="str">
        <f>IFERROR(__xludf.DUMMYFUNCTION("IF(ISBLANK(A181),"""",SWITCH(IF(T181="""",0,COUNTA(SPLIT(T181,"" ""))),0,""Generic"",1,TRIM(T181),2,""Multicolor"",3,""Multicolor"",4,""Multicolor"",5,""Multicolor"",6,""Multicolor"",7,""Multicolor"",8,""Multicolor""))"),"Green")</f>
        <v>Green</v>
      </c>
      <c r="E181" s="4"/>
      <c r="F181" s="4" t="s">
        <v>33</v>
      </c>
      <c r="G181" s="4" t="s">
        <v>118</v>
      </c>
      <c r="H181" s="2" t="s">
        <v>129</v>
      </c>
      <c r="I181" s="3" t="s">
        <v>720</v>
      </c>
      <c r="J181" s="3"/>
      <c r="O181" s="3"/>
      <c r="Q181" s="1">
        <v>50</v>
      </c>
      <c r="R181" s="1">
        <v>50</v>
      </c>
      <c r="S181" s="4" t="str">
        <f t="shared" si="8"/>
        <v>False</v>
      </c>
      <c r="T181" s="4" t="str">
        <f>IFERROR(__xludf.DUMMYFUNCTION("CONCATENATE(if(REGEXMATCH(C181,""R""),"" Red"",""""),if(REGEXMATCH(C181,""O""),"" Orange"",""""),if(REGEXMATCH(C181,""Y""),"" Yellow"",""""),if(REGEXMATCH(C181,""G""),"" Green"",""""),if(REGEXMATCH(C181,""B""),"" Blue"",""""),if(REGEXMATCH(C181,""P""),"" "&amp;"Purple"",""""))")," Green")</f>
        <v>Green</v>
      </c>
      <c r="U181" s="4" t="str">
        <f>IFERROR(__xludf.DUMMYFUNCTION("TRIM(CONCAT(""[right]"", REGEXREPLACE(C181, ""([ROYGBPXZC_]|1?[0-9])"", ""[img=119]res://textures/icons/$0.png[/img]\\n"")))"),"[right][img=119]res://textures/icons/1.png[/img]\n[img=119]res://textures/icons/G.png[/img]\n[img=119]res://textures/icons/G.png[/img]\n")</f>
        <v>[right][img=119]res://textures/icons/1.png[/img]\n[img=119]res://textures/icons/G.png[/img]\n[img=119]res://textures/icons/G.png[/img]\n</v>
      </c>
      <c r="V181" s="4" t="str">
        <f>IFERROR(__xludf.DUMMYFUNCTION("SUBSTITUTE(SUBSTITUTE(SUBSTITUTE(SUBSTITUTE(REGEXREPLACE(SUBSTITUTE(SUBSTITUTE(SUBSTITUTE(SUBSTITUTE(REGEXREPLACE(I181, ""(\[([ROYGBPTQUXZC_]|1?[0-9])\])"", ""[img=45]res://textures/icons/$2.png[/img]""),""--"",""—""),""-&gt;"",""•""),""~@"", CONCATENATE(""["&amp;"i]"",REGEXEXTRACT(B181,""^([\s\S]*),|$""),""[/i]"")),""~"", CONCATENATE(""[i]"",B181,""[/i]"")),""(\([\s\S]*?\))"",""[i][color=#34343A]$0[/color][/i]""), ""&lt;"", ""[""), ""&gt;"", ""]""), ""[/p][p]"", ""[font_size=15]\n\n[/font_size]""), ""[br/]"", ""\n"")"),"[center][i]Abundant Harvest[/i] costs [img=45]res://textures/icons/1.png[/img] less to deploy if you didn't go first.[/center][p]Create an [i]'Overflowing Garden'[/i] on the battlefield.[/p]")</f>
        <v xml:space="preserve">[center][i]Abundant Harvest[/i] costs [img=45]res://textures/icons/1.png[/img] less to deploy if you didn't go first.[/center][p]Create an [i]'Overflowing Garden'[/i] on the battlefield.[/p]</v>
      </c>
      <c r="W181" s="4" t="str">
        <f t="shared" si="9"/>
        <v>[i]Effect[/i]</v>
      </c>
      <c r="X181" s="4" t="str">
        <f t="shared" si="10"/>
        <v>RT_GU_004</v>
      </c>
    </row>
    <row r="182" outlineLevel="1">
      <c r="A182" s="1" t="s">
        <v>721</v>
      </c>
      <c r="B182" s="4" t="s">
        <v>722</v>
      </c>
      <c r="C182" s="5"/>
      <c r="D182" s="6" t="s">
        <v>723</v>
      </c>
      <c r="E182" s="4"/>
      <c r="F182" s="4" t="s">
        <v>724</v>
      </c>
      <c r="G182" s="4" t="s">
        <v>725</v>
      </c>
      <c r="H182" s="5" t="s">
        <v>25</v>
      </c>
      <c r="I182" s="7" t="s">
        <v>726</v>
      </c>
      <c r="J182" s="7"/>
      <c r="K182" s="8"/>
      <c r="L182" s="8"/>
      <c r="O182" s="3"/>
      <c r="Q182" s="1">
        <v>50</v>
      </c>
      <c r="R182" s="1">
        <v>50</v>
      </c>
      <c r="S182" s="4" t="str">
        <f t="shared" si="8"/>
        <v>False</v>
      </c>
      <c r="T182" s="4" t="s">
        <v>723</v>
      </c>
      <c r="U182" s="4" t="str">
        <f>IFERROR(__xludf.DUMMYFUNCTION("TRIM(CONCAT(""[right]"", REGEXREPLACE(C182, ""([ROYGBPXZC_]|1?[0-9])"", ""[img=119]res://textures/icons/$0.png[/img]\\n"")))"),"[right]")</f>
        <v>[right]</v>
      </c>
      <c r="V182" s="4" t="str">
        <f>IFERROR(__xludf.DUMMYFUNCTION("SUBSTITUTE(SUBSTITUTE(SUBSTITUTE(SUBSTITUTE(REGEXREPLACE(SUBSTITUTE(SUBSTITUTE(SUBSTITUTE(SUBSTITUTE(REGEXREPLACE(I182, ""(\[([ROYGBPTQUXZC_]|1?[0-9])\])"", ""[img=45]res://textures/icons/$2.png[/img]""),""--"",""—""),""-&gt;"",""•""),""~@"", CONCATENATE(""["&amp;"i]"",REGEXEXTRACT(B182,""^([\s\S]*),|$""),""[/i]"")),""~"", CONCATENATE(""[i]"",B182,""[/i]"")),""(\([\s\S]*?\))"",""[i][color=#34343A]$0[/color][/i]""), ""&lt;"", ""[""), ""&gt;"", ""]""), ""[/p][p]"", ""[font_size=15]\n\n[/font_size]""), ""[br/]"", ""\n"")"),"[center][i][color=#34343A](Generators are not assets or effects. You may only play [i]Overflowing Garden[/i] whenever you have the option to hire generator instead of hiring any other card as a generator.)[/color][/i][/center][p][img=45]res://textures/ico"&amp;"ns/T.png[/img]: Add [img=45]res://textures/icons/G.png[/img].[font_size=15]\n\n[/font_size][u]Forfeit[/u] [i][color=#34343A](Put the specified card into its owner's discard.)[/color][/i] [i]Overflowing Garden[/i]: Your commander gains [u]X[/u] [i][color=#"&amp;"34343A](X is the number of cards named [i]Overflowing Garden[/i] on the battlefield)[/color][/i] loyalty.[/p]")</f>
        <v xml:space="preserve">[center][i][color=#34343A](Generators are not assets or effects. You may only play [i]Overflowing Garden[/i] whenever you have the option to hire generator instead of hiring any other card as a generator.)[/color][/i][/center][p][img=45]res://textures/icons/T.png[/img]: Add [img=45]res://textures/icons/G.png[/img].[font_size=15]\n\n[/font_size][u]Forfeit[/u] [i][color=#34343A](Put the specified card into its owner's discard.)[/color][/i] [i]Overflowing Garden[/i]: Your commander gains [u]X[/u] [i][color=#34343A](X is the number of cards named [i]Overflowing Garden[/i] on the battlefield)[/color][/i] loyalty.[/p]</v>
      </c>
      <c r="W182" s="4" t="str">
        <f t="shared" si="9"/>
        <v>[i]Generator[/i]</v>
      </c>
      <c r="X182" s="4" t="str">
        <f t="shared" si="10"/>
        <v>RT_GU_004b</v>
      </c>
    </row>
    <row r="183" outlineLevel="1">
      <c r="A183" s="1" t="s">
        <v>727</v>
      </c>
      <c r="B183" s="4" t="s">
        <v>728</v>
      </c>
      <c r="C183" s="5" t="s">
        <v>692</v>
      </c>
      <c r="D183" s="6" t="str">
        <f>IFERROR(__xludf.DUMMYFUNCTION("IF(ISBLANK(A183),"""",SWITCH(IF(T183="""",0,COUNTA(SPLIT(T183,"" ""))),0,""Generic"",1,TRIM(T183),2,""Multicolor"",3,""Multicolor"",4,""Multicolor"",5,""Multicolor"",6,""Multicolor"",7,""Multicolor"",8,""Multicolor""))"),"Green")</f>
        <v>Green</v>
      </c>
      <c r="E183" s="4" t="s">
        <v>51</v>
      </c>
      <c r="F183" s="4" t="s">
        <v>26</v>
      </c>
      <c r="G183" s="4" t="s">
        <v>729</v>
      </c>
      <c r="H183" s="5" t="s">
        <v>129</v>
      </c>
      <c r="I183" s="7" t="s">
        <v>730</v>
      </c>
      <c r="J183" s="7" t="s">
        <v>731</v>
      </c>
      <c r="K183" s="8">
        <v>1</v>
      </c>
      <c r="L183" s="8">
        <v>3</v>
      </c>
      <c r="O183" s="3"/>
      <c r="Q183" s="1">
        <v>50</v>
      </c>
      <c r="R183" s="1">
        <v>50</v>
      </c>
      <c r="S183" s="4" t="str">
        <f t="shared" si="8"/>
        <v>True</v>
      </c>
      <c r="T183" s="4" t="str">
        <f>IFERROR(__xludf.DUMMYFUNCTION("CONCATENATE(if(REGEXMATCH(C183,""R""),"" Red"",""""),if(REGEXMATCH(C183,""O""),"" Orange"",""""),if(REGEXMATCH(C183,""Y""),"" Yellow"",""""),if(REGEXMATCH(C183,""G""),"" Green"",""""),if(REGEXMATCH(C183,""B""),"" Blue"",""""),if(REGEXMATCH(C183,""P""),"" "&amp;"Purple"",""""))")," Green")</f>
        <v>Green</v>
      </c>
      <c r="U183" s="4" t="str">
        <f>IFERROR(__xludf.DUMMYFUNCTION("TRIM(CONCAT(""[right]"", REGEXREPLACE(C183, ""([ROYGBPXZC_]|1?[0-9])"", ""[img=119]res://textures/icons/$0.png[/img]\\n"")))"),"[right][img=119]res://textures/icons/2.png[/img]\n[img=119]res://textures/icons/G.png[/img]\n")</f>
        <v>[right][img=119]res://textures/icons/2.png[/img]\n[img=119]res://textures/icons/G.png[/img]\n</v>
      </c>
      <c r="V183" s="4" t="str">
        <f>IFERROR(__xludf.DUMMYFUNCTION("SUBSTITUTE(SUBSTITUTE(SUBSTITUTE(SUBSTITUTE(REGEXREPLACE(SUBSTITUTE(SUBSTITUTE(SUBSTITUTE(SUBSTITUTE(REGEXREPLACE(I183, ""(\[([ROYGBPTQUXZC_]|1?[0-9])\])"", ""[img=45]res://textures/icons/$2.png[/img]""),""--"",""—""),""-&gt;"",""•""),""~@"", CONCATENATE(""["&amp;"i]"",REGEXEXTRACT(B183,""^([\s\S]*),|$""),""[/i]"")),""~"", CONCATENATE(""[i]"",B183,""[/i]"")),""(\([\s\S]*?\))"",""[i][color=#34343A]$0[/color][/i]""), ""&lt;"", ""[""), ""&gt;"", ""]""), ""[/p][p]"", ""[font_size=15]\n\n[/font_size]""), ""[br/]"", ""\n"")"),"[center][u]Armor 3[/u] [i][color=#34343A](Damage dealt to [i]Construction Drone[/i] by any source is reduced by 3. Whenever damage is reduced this way [i]Construction Drone[/i] loses that much armor.)[/color][/i][/center][p][u]Once[/u] [i][color=#34343A]("&amp;"As you activate this effect, remove it from this card)[/color][/i]: search your deck for a vitality [i][color=#34343A]([img=45]res://textures/icons/G.png[/img])[/color][/i] card, you may hire it as a generator, then shuffle your deck.[/p]")</f>
        <v xml:space="preserve">[center][u]Armor 3[/u] [i][color=#34343A](Damage dealt to [i]Construction Drone[/i] by any source is reduced by 3. Whenever damage is reduced this way [i]Construction Drone[/i] loses that much armor.)[/color][/i][/center][p][u]Once[/u] [i][color=#34343A](As you activate this effect, remove it from this card)[/color][/i]: search your deck for a vitality [i][color=#34343A]([img=45]res://textures/icons/G.png[/img])[/color][/i] card, you may hire it as a generator, then shuffle your deck.[/p]</v>
      </c>
      <c r="W183" s="4" t="str">
        <f t="shared" si="9"/>
        <v>[i]Asset[/i]</v>
      </c>
      <c r="X183" s="4" t="str">
        <f t="shared" si="10"/>
        <v>RT_GU_005</v>
      </c>
    </row>
    <row r="184" outlineLevel="1">
      <c r="A184" s="1" t="s">
        <v>732</v>
      </c>
      <c r="B184" s="4" t="s">
        <v>733</v>
      </c>
      <c r="C184" s="5" t="s">
        <v>692</v>
      </c>
      <c r="D184" s="6" t="str">
        <f>IFERROR(__xludf.DUMMYFUNCTION("IF(ISBLANK(A184),"""",SWITCH(IF(T184="""",0,COUNTA(SPLIT(T184,"" ""))),0,""Generic"",1,TRIM(T184),2,""Multicolor"",3,""Multicolor"",4,""Multicolor"",5,""Multicolor"",6,""Multicolor"",7,""Multicolor"",8,""Multicolor""))"),"Green")</f>
        <v>Green</v>
      </c>
      <c r="E184" s="4" t="s">
        <v>51</v>
      </c>
      <c r="F184" s="4" t="s">
        <v>26</v>
      </c>
      <c r="G184" s="4" t="s">
        <v>734</v>
      </c>
      <c r="H184" s="5" t="s">
        <v>129</v>
      </c>
      <c r="I184" s="7" t="s">
        <v>735</v>
      </c>
      <c r="J184" s="4"/>
      <c r="K184" s="8">
        <v>4</v>
      </c>
      <c r="L184" s="8">
        <v>6</v>
      </c>
      <c r="O184" s="3"/>
      <c r="Q184" s="1">
        <v>45</v>
      </c>
      <c r="R184" s="1">
        <v>50</v>
      </c>
      <c r="S184" s="4" t="str">
        <f t="shared" si="8"/>
        <v>True</v>
      </c>
      <c r="T184" s="4" t="str">
        <f>IFERROR(__xludf.DUMMYFUNCTION("CONCATENATE(if(REGEXMATCH(C184,""R""),"" Red"",""""),if(REGEXMATCH(C184,""O""),"" Orange"",""""),if(REGEXMATCH(C184,""Y""),"" Yellow"",""""),if(REGEXMATCH(C184,""G""),"" Green"",""""),if(REGEXMATCH(C184,""B""),"" Blue"",""""),if(REGEXMATCH(C184,""P""),"" "&amp;"Purple"",""""))")," Green")</f>
        <v>Green</v>
      </c>
      <c r="U184" s="4" t="str">
        <f>IFERROR(__xludf.DUMMYFUNCTION("TRIM(CONCAT(""[right]"", REGEXREPLACE(C184, ""([ROYGBPXZC_]|1?[0-9])"", ""[img=119]res://textures/icons/$0.png[/img]\\n"")))"),"[right][img=119]res://textures/icons/2.png[/img]\n[img=119]res://textures/icons/G.png[/img]\n")</f>
        <v>[right][img=119]res://textures/icons/2.png[/img]\n[img=119]res://textures/icons/G.png[/img]\n</v>
      </c>
      <c r="V184" s="4" t="str">
        <f>IFERROR(__xludf.DUMMYFUNCTION("SUBSTITUTE(SUBSTITUTE(SUBSTITUTE(SUBSTITUTE(REGEXREPLACE(SUBSTITUTE(SUBSTITUTE(SUBSTITUTE(SUBSTITUTE(REGEXREPLACE(I184, ""(\[([ROYGBPTQUXZC_]|1?[0-9])\])"", ""[img=45]res://textures/icons/$2.png[/img]""),""--"",""—""),""-&gt;"",""•""),""~@"", CONCATENATE(""["&amp;"i]"",REGEXEXTRACT(B184,""^([\s\S]*),|$""),""[/i]"")),""~"", CONCATENATE(""[i]"",B184,""[/i]"")),""(\([\s\S]*?\))"",""[i][color=#34343A]$0[/color][/i]""), ""&lt;"", ""[""), ""&gt;"", ""]""), ""[/p][p]"", ""[font_size=15]\n\n[/font_size]""), ""[br/]"", ""\n"")"),"[i]exaLink Defense Drone[/i] enters the battlefield with your choice of [u]armor 3[/u] [i][color=#34343A](Damage dealt to [i]exaLink Defense Drone[/i] by any source is reduced by 3. Whenever damage is reduced this way [i]exaLink Defense Drone[/i] loses th"&amp;"at much armor.)[/color][/i] or [u]shield[/u] [i][color=#34343A](Prevent the next instance of damage [i]exaLink Defense Drone[/i] would receive. Once damage has been prevented this way, [i]exaLink Defense Drone[/i] loses Shield.)[/color][/i]")</f>
        <v xml:space="preserve">[i]exaLink Defense Drone[/i] enters the battlefield with your choice of [u]armor 3[/u] [i][color=#34343A](Damage dealt to [i]exaLink Defense Drone[/i] by any source is reduced by 3. Whenever damage is reduced this way [i]exaLink Defense Drone[/i] loses that much armor.)[/color][/i] or [u]shield[/u] [i][color=#34343A](Prevent the next instance of damage [i]exaLink Defense Drone[/i] would receive. Once damage has been prevented this way, [i]exaLink Defense Drone[/i] loses Shield.)[/color][/i]</v>
      </c>
      <c r="W184" s="4" t="str">
        <f t="shared" si="9"/>
        <v>[i]Asset[/i]</v>
      </c>
      <c r="X184" s="4" t="str">
        <f t="shared" si="10"/>
        <v>RT_GU_006</v>
      </c>
    </row>
    <row r="185" outlineLevel="1">
      <c r="A185" s="1" t="s">
        <v>736</v>
      </c>
      <c r="B185" s="4" t="s">
        <v>737</v>
      </c>
      <c r="C185" s="5" t="s">
        <v>700</v>
      </c>
      <c r="D185" s="6" t="str">
        <f>IFERROR(__xludf.DUMMYFUNCTION("IF(ISBLANK(A185),"""",SWITCH(IF(T185="""",0,COUNTA(SPLIT(T185,"" ""))),0,""Generic"",1,TRIM(T185),2,""Multicolor"",3,""Multicolor"",4,""Multicolor"",5,""Multicolor"",6,""Multicolor"",7,""Multicolor"",8,""Multicolor""))"),"Green")</f>
        <v>Green</v>
      </c>
      <c r="E185" s="4" t="s">
        <v>51</v>
      </c>
      <c r="F185" s="4" t="s">
        <v>738</v>
      </c>
      <c r="G185" s="4" t="s">
        <v>739</v>
      </c>
      <c r="H185" s="5" t="s">
        <v>129</v>
      </c>
      <c r="I185" s="7" t="s">
        <v>740</v>
      </c>
      <c r="J185" s="7" t="s">
        <v>741</v>
      </c>
      <c r="K185" s="8">
        <v>0</v>
      </c>
      <c r="L185" s="8">
        <v>2</v>
      </c>
      <c r="O185" s="3"/>
      <c r="Q185" s="1">
        <v>50</v>
      </c>
      <c r="R185" s="1">
        <v>50</v>
      </c>
      <c r="S185" s="4" t="str">
        <f t="shared" si="8"/>
        <v>True</v>
      </c>
      <c r="T185" s="4" t="str">
        <f>IFERROR(__xludf.DUMMYFUNCTION("CONCATENATE(if(REGEXMATCH(C185,""R""),"" Red"",""""),if(REGEXMATCH(C185,""O""),"" Orange"",""""),if(REGEXMATCH(C185,""Y""),"" Yellow"",""""),if(REGEXMATCH(C185,""G""),"" Green"",""""),if(REGEXMATCH(C185,""B""),"" Blue"",""""),if(REGEXMATCH(C185,""P""),"" "&amp;"Purple"",""""))")," Green")</f>
        <v>Green</v>
      </c>
      <c r="U185" s="4" t="str">
        <f>IFERROR(__xludf.DUMMYFUNCTION("TRIM(CONCAT(""[right]"", REGEXREPLACE(C185, ""([ROYGBPXZC_]|1?[0-9])"", ""[img=119]res://textures/icons/$0.png[/img]\\n"")))"),"[right][img=119]res://textures/icons/G.png[/img]\n[img=119]res://textures/icons/G.png[/img]\n")</f>
        <v>[right][img=119]res://textures/icons/G.png[/img]\n[img=119]res://textures/icons/G.png[/img]\n</v>
      </c>
      <c r="V185" s="4" t="str">
        <f>IFERROR(__xludf.DUMMYFUNCTION("SUBSTITUTE(SUBSTITUTE(SUBSTITUTE(SUBSTITUTE(REGEXREPLACE(SUBSTITUTE(SUBSTITUTE(SUBSTITUTE(SUBSTITUTE(REGEXREPLACE(I185, ""(\[([ROYGBPTQUXZC_]|1?[0-9])\])"", ""[img=45]res://textures/icons/$2.png[/img]""),""--"",""—""),""-&gt;"",""•""),""~@"", CONCATENATE(""["&amp;"i]"",REGEXEXTRACT(B185,""^([\s\S]*),|$""),""[/i]"")),""~"", CONCATENATE(""[i]"",B185,""[/i]"")),""(\([\s\S]*?\))"",""[i][color=#34343A]$0[/color][/i]""), ""&lt;"", ""[""), ""&gt;"", ""]""), ""[/p][p]"", ""[font_size=15]\n\n[/font_size]""), ""[br/]"", ""\n"")"),"[center][i][color=#34343A](You may play [i]Medical Storehouse[/i] whenever you have the option to hire a generator, instead of hiring any other card as a generator, or you may deploy it as an asset.)[/color][/i]\n[u]Barricade[/u] [i][color=#34343A]([i]Med"&amp;"ical Storehouse[/i] can't attack; however, intercepting doesn't exhaust it.)[/color][/i], [u]Armor 2[/u][/center][p][img=45]res://textures/icons/T.png[/img], [img=45]res://textures/icons/X.png[/img][img=45]res://textures/icons/G.png[/img] [i][color=#34343"&amp;"A](X is the number of times this effect has been activated.)[/color][/i]: Your commander gains [img=45]res://textures/icons/X.png[/img] loyalty. This effect may be activated by any player.[/p]")</f>
        <v xml:space="preserve">[center][i][color=#34343A](You may play [i]Medical Storehouse[/i] whenever you have the option to hire a generator, instead of hiring any other card as a generator, or you may deploy it as an asset.)[/color][/i]\n[u]Barricade[/u] [i][color=#34343A]([i]Medical Storehouse[/i] can't attack; however, intercepting doesn't exhaust it.)[/color][/i], [u]Armor 2[/u][/center][p][img=45]res://textures/icons/T.png[/img], [img=45]res://textures/icons/X.png[/img][img=45]res://textures/icons/G.png[/img] [i][color=#34343A](X is the number of times this effect has been activated.)[/color][/i]: Your commander gains [img=45]res://textures/icons/X.png[/img] loyalty. This effect may be activated by any player.[/p]</v>
      </c>
      <c r="W185" s="4" t="str">
        <f t="shared" si="9"/>
        <v xml:space="preserve">[i]Gen. Asset[/i]</v>
      </c>
      <c r="X185" s="4" t="str">
        <f t="shared" si="10"/>
        <v>RT_GU_007</v>
      </c>
    </row>
    <row r="186" outlineLevel="1">
      <c r="A186" s="1" t="s">
        <v>742</v>
      </c>
      <c r="B186" s="1" t="s">
        <v>743</v>
      </c>
      <c r="C186" s="2" t="s">
        <v>744</v>
      </c>
      <c r="D186" s="6" t="str">
        <f>IFERROR(__xludf.DUMMYFUNCTION("IF(EQ(A186,B186),"""",SWITCH(IF(T186="""",0,COUNTA(SPLIT(T186,"" ""))),0,""Generic"",1,TRIM(T186),2,""Multicolor"",3,""Multicolor"",4,""Multicolor"",5,""Multicolor"",6,""Multicolor"",7,""Multicolor"",8,""Multicolor""))"),"Green")</f>
        <v>Green</v>
      </c>
      <c r="E186" s="1"/>
      <c r="F186" s="1" t="s">
        <v>26</v>
      </c>
      <c r="G186" s="1" t="s">
        <v>739</v>
      </c>
      <c r="H186" s="2" t="s">
        <v>129</v>
      </c>
      <c r="I186" s="7" t="s">
        <v>745</v>
      </c>
      <c r="J186" s="3"/>
      <c r="K186" s="1"/>
      <c r="L186" s="1"/>
      <c r="O186" s="3"/>
      <c r="Q186" s="1">
        <v>60</v>
      </c>
      <c r="R186" s="1">
        <v>50</v>
      </c>
      <c r="S186" s="4" t="str">
        <f t="shared" si="8"/>
        <v>False</v>
      </c>
      <c r="T186" s="4" t="str">
        <f>IFERROR(__xludf.DUMMYFUNCTION("CONCATENATE(if(REGEXMATCH(C186,""R""),"" Red"",""""),if(REGEXMATCH(C186,""O""),"" Orange"",""""),if(REGEXMATCH(C186,""Y""),"" Yellow"",""""),if(REGEXMATCH(C186,""G""),"" Green"",""""),if(REGEXMATCH(C186,""B""),"" Blue"",""""),if(REGEXMATCH(C186,""P""),"" "&amp;"Purple"",""""))")," Green")</f>
        <v>Green</v>
      </c>
      <c r="U186" s="4" t="str">
        <f>IFERROR(__xludf.DUMMYFUNCTION("TRIM(CONCAT(""[right]"", REGEXREPLACE(C186, ""([ROYGBPXZC_]|1?[0-9])"", ""[img=119]res://textures/icons/$0.png[/img]\\n"")))"),"[right][img=119]res://textures/icons/1.png[/img]\n[img=119]res://textures/icons/G.png[/img]\n")</f>
        <v>[right][img=119]res://textures/icons/1.png[/img]\n[img=119]res://textures/icons/G.png[/img]\n</v>
      </c>
      <c r="V186" s="4" t="str">
        <f>IFERROR(__xludf.DUMMYFUNCTION("SUBSTITUTE(SUBSTITUTE(SUBSTITUTE(SUBSTITUTE(REGEXREPLACE(SUBSTITUTE(SUBSTITUTE(SUBSTITUTE(SUBSTITUTE(REGEXREPLACE(I186, ""(\[([ROYGBPTQUXZC_]|1?[0-9])\])"", ""[img=45]res://textures/icons/$2.png[/img]""),""--"",""—""),""-&gt;"",""•""),""~@"", CONCATENATE(""["&amp;"i]"",REGEXEXTRACT(B186,""^([\s\S]*),|$""),""[/i]"")),""~"", CONCATENATE(""[i]"",B186,""[/i]"")),""(\([\s\S]*?\))"",""[i][color=#34343A]$0[/color][/i]""), ""&lt;"", ""[""), ""&gt;"", ""]""), ""[/p][p]"", ""[font_size=15]\n\n[/font_size]""), ""[br/]"", ""\n"")"),"[p]When [i]Lunar Garden[/i] enters the battlefield, choose an energy type a generator you control could produce, then attach it to a generator.[font_size=15]\n\n[/font_size]The attached generator can be exhausted for the chosen energy type.[/p]")</f>
        <v xml:space="preserve">[p]When [i]Lunar Garden[/i] enters the battlefield, choose an energy type a generator you control could produce, then attach it to a generator.[font_size=15]\n\n[/font_size]The attached generator can be exhausted for the chosen energy type.[/p]</v>
      </c>
      <c r="W186" s="4" t="str">
        <f t="shared" si="9"/>
        <v>[i]Asset[/i]</v>
      </c>
      <c r="X186" s="4" t="str">
        <f t="shared" si="10"/>
        <v>RT_GU_008</v>
      </c>
    </row>
    <row r="187" outlineLevel="1">
      <c r="A187" s="1" t="s">
        <v>746</v>
      </c>
      <c r="B187" s="1" t="s">
        <v>747</v>
      </c>
      <c r="C187" s="2" t="s">
        <v>744</v>
      </c>
      <c r="D187" s="6" t="str">
        <f>IFERROR(__xludf.DUMMYFUNCTION("IF(EQ(A187,B187),"""",SWITCH(IF(T187="""",0,COUNTA(SPLIT(T187,"" ""))),0,""Generic"",1,TRIM(T187),2,""Multicolor"",3,""Multicolor"",4,""Multicolor"",5,""Multicolor"",6,""Multicolor"",7,""Multicolor"",8,""Multicolor""))"),"Green")</f>
        <v>Green</v>
      </c>
      <c r="E187" s="1" t="s">
        <v>79</v>
      </c>
      <c r="F187" s="1" t="s">
        <v>26</v>
      </c>
      <c r="G187" s="1" t="s">
        <v>748</v>
      </c>
      <c r="H187" s="2" t="s">
        <v>50</v>
      </c>
      <c r="I187" s="3"/>
      <c r="J187" s="3"/>
      <c r="K187" s="1">
        <v>4</v>
      </c>
      <c r="L187" s="1">
        <v>4</v>
      </c>
      <c r="O187" s="3"/>
      <c r="Q187" s="1">
        <v>60</v>
      </c>
      <c r="R187" s="1">
        <v>40</v>
      </c>
      <c r="S187" s="4" t="str">
        <f t="shared" si="8"/>
        <v>True</v>
      </c>
      <c r="T187" s="4" t="str">
        <f>IFERROR(__xludf.DUMMYFUNCTION("CONCATENATE(if(REGEXMATCH(C187,""R""),"" Red"",""""),if(REGEXMATCH(C187,""O""),"" Orange"",""""),if(REGEXMATCH(C187,""Y""),"" Yellow"",""""),if(REGEXMATCH(C187,""G""),"" Green"",""""),if(REGEXMATCH(C187,""B""),"" Blue"",""""),if(REGEXMATCH(C187,""P""),"" "&amp;"Purple"",""""))")," Green")</f>
        <v>Green</v>
      </c>
      <c r="U187" s="4" t="str">
        <f>IFERROR(__xludf.DUMMYFUNCTION("TRIM(CONCAT(""[right]"", REGEXREPLACE(C187, ""([ROYGBPXZC_]|1?[0-9])"", ""[img=119]res://textures/icons/$0.png[/img]\\n"")))"),"[right][img=119]res://textures/icons/1.png[/img]\n[img=119]res://textures/icons/G.png[/img]\n")</f>
        <v>[right][img=119]res://textures/icons/1.png[/img]\n[img=119]res://textures/icons/G.png[/img]\n</v>
      </c>
      <c r="V187" s="4" t="str">
        <f>IFERROR(__xludf.DUMMYFUNCTION("SUBSTITUTE(SUBSTITUTE(SUBSTITUTE(SUBSTITUTE(REGEXREPLACE(SUBSTITUTE(SUBSTITUTE(SUBSTITUTE(SUBSTITUTE(REGEXREPLACE(I187, ""(\[([ROYGBPTQUXZC_]|1?[0-9])\])"", ""[img=45]res://textures/icons/$2.png[/img]""),""--"",""—""),""-&gt;"",""•""),""~@"", CONCATENATE(""["&amp;"i]"",REGEXEXTRACT(B187,""^([\s\S]*),|$""),""[/i]"")),""~"", CONCATENATE(""[i]"",B187,""[/i]"")),""(\([\s\S]*?\))"",""[i][color=#34343A]$0[/color][/i]""), ""&lt;"", ""[""), ""&gt;"", ""]""), ""[/p][p]"", ""[font_size=15]\n\n[/font_size]""), ""[br/]"", ""\n"")"),"")</f>
        <v/>
      </c>
      <c r="W187" s="4" t="str">
        <f t="shared" si="9"/>
        <v>[i]Asset[/i]</v>
      </c>
      <c r="X187" s="4" t="str">
        <f t="shared" si="10"/>
        <v>RT_GC_001</v>
      </c>
    </row>
    <row r="188" outlineLevel="1">
      <c r="A188" s="1" t="s">
        <v>749</v>
      </c>
      <c r="B188" s="4" t="s">
        <v>750</v>
      </c>
      <c r="C188" s="5" t="s">
        <v>692</v>
      </c>
      <c r="D188" s="6" t="str">
        <f>IFERROR(__xludf.DUMMYFUNCTION("IF(ISBLANK(A188),"""",SWITCH(IF(T188="""",0,COUNTA(SPLIT(T188,"" ""))),0,""Generic"",1,TRIM(T188),2,""Multicolor"",3,""Multicolor"",4,""Multicolor"",5,""Multicolor"",6,""Multicolor"",7,""Multicolor"",8,""Multicolor""))"),"Green")</f>
        <v>Green</v>
      </c>
      <c r="E188" s="4" t="s">
        <v>51</v>
      </c>
      <c r="F188" s="4" t="s">
        <v>26</v>
      </c>
      <c r="G188" s="4" t="s">
        <v>734</v>
      </c>
      <c r="H188" s="5" t="s">
        <v>32</v>
      </c>
      <c r="I188" s="3" t="s">
        <v>751</v>
      </c>
      <c r="J188" s="4"/>
      <c r="K188" s="8">
        <v>2</v>
      </c>
      <c r="L188" s="8">
        <v>3</v>
      </c>
      <c r="O188" s="3"/>
      <c r="Q188" s="1">
        <v>60</v>
      </c>
      <c r="R188" s="1">
        <v>50</v>
      </c>
      <c r="S188" s="4" t="str">
        <f t="shared" si="8"/>
        <v>True</v>
      </c>
      <c r="T188" s="4" t="str">
        <f>IFERROR(__xludf.DUMMYFUNCTION("CONCATENATE(if(REGEXMATCH(C188,""R""),"" Red"",""""),if(REGEXMATCH(C188,""O""),"" Orange"",""""),if(REGEXMATCH(C188,""Y""),"" Yellow"",""""),if(REGEXMATCH(C188,""G""),"" Green"",""""),if(REGEXMATCH(C188,""B""),"" Blue"",""""),if(REGEXMATCH(C188,""P""),"" "&amp;"Purple"",""""))")," Green")</f>
        <v>Green</v>
      </c>
      <c r="U188" s="4" t="str">
        <f>IFERROR(__xludf.DUMMYFUNCTION("TRIM(CONCAT(""[right]"", REGEXREPLACE(C188, ""([ROYGBPXZC_]|1?[0-9])"", ""[img=119]res://textures/icons/$0.png[/img]\\n"")))"),"[right][img=119]res://textures/icons/2.png[/img]\n[img=119]res://textures/icons/G.png[/img]\n")</f>
        <v>[right][img=119]res://textures/icons/2.png[/img]\n[img=119]res://textures/icons/G.png[/img]\n</v>
      </c>
      <c r="V188" s="4" t="str">
        <f>IFERROR(__xludf.DUMMYFUNCTION("SUBSTITUTE(SUBSTITUTE(SUBSTITUTE(SUBSTITUTE(REGEXREPLACE(SUBSTITUTE(SUBSTITUTE(SUBSTITUTE(SUBSTITUTE(REGEXREPLACE(I188, ""(\[([ROYGBPTQUXZC_]|1?[0-9])\])"", ""[img=45]res://textures/icons/$2.png[/img]""),""--"",""—""),""-&gt;"",""•""),""~@"", CONCATENATE(""["&amp;"i]"",REGEXEXTRACT(B188,""^([\s\S]*),|$""),""[/i]"")),""~"", CONCATENATE(""[i]"",B188,""[/i]"")),""(\([\s\S]*?\))"",""[i][color=#34343A]$0[/color][/i]""), ""&lt;"", ""[""), ""&gt;"", ""]""), ""[/p][p]"", ""[font_size=15]\n\n[/font_size]""), ""[br/]"", ""\n"")"),"[center][u]Armor 3[/u] [i][color=#34343A](Damage dealt to them by any source is reduced by 3. Whenever damage is reduced this way [i]Generator Guard[/i] loses that much armor.)[/color][/i][/center][p]Generators you control have [u]unbreakable[/u] [i][colo"&amp;"r=#34343A](They can't be forfeited.)[/color][/i][/p]")</f>
        <v xml:space="preserve">[center][u]Armor 3[/u] [i][color=#34343A](Damage dealt to them by any source is reduced by 3. Whenever damage is reduced this way [i]Generator Guard[/i] loses that much armor.)[/color][/i][/center][p]Generators you control have [u]unbreakable[/u] [i][color=#34343A](They can't be forfeited.)[/color][/i][/p]</v>
      </c>
      <c r="W188" s="4" t="str">
        <f t="shared" si="9"/>
        <v>[i]Asset[/i]</v>
      </c>
      <c r="X188" s="4" t="str">
        <f t="shared" si="10"/>
        <v>RT_GC_002</v>
      </c>
    </row>
    <row r="189" outlineLevel="1">
      <c r="A189" s="1" t="s">
        <v>752</v>
      </c>
      <c r="B189" s="4" t="s">
        <v>753</v>
      </c>
      <c r="C189" s="5" t="s">
        <v>744</v>
      </c>
      <c r="D189" s="6" t="str">
        <f>IFERROR(__xludf.DUMMYFUNCTION("IF(ISBLANK(A189),"""",SWITCH(IF(T189="""",0,COUNTA(SPLIT(T189,"" ""))),0,""Generic"",1,TRIM(T189),2,""Multicolor"",3,""Multicolor"",4,""Multicolor"",5,""Multicolor"",6,""Multicolor"",7,""Multicolor"",8,""Multicolor""))"),"Green")</f>
        <v>Green</v>
      </c>
      <c r="E189" s="4"/>
      <c r="F189" s="4" t="s">
        <v>33</v>
      </c>
      <c r="G189" s="4"/>
      <c r="H189" s="5" t="s">
        <v>44</v>
      </c>
      <c r="I189" s="7" t="s">
        <v>754</v>
      </c>
      <c r="J189" s="3"/>
      <c r="O189" s="3"/>
      <c r="Q189" s="1">
        <v>45</v>
      </c>
      <c r="R189" s="1">
        <v>50</v>
      </c>
      <c r="S189" s="4" t="str">
        <f t="shared" si="8"/>
        <v>False</v>
      </c>
      <c r="T189" s="4" t="str">
        <f>IFERROR(__xludf.DUMMYFUNCTION("CONCATENATE(if(REGEXMATCH(C189,""R""),"" Red"",""""),if(REGEXMATCH(C189,""O""),"" Orange"",""""),if(REGEXMATCH(C189,""Y""),"" Yellow"",""""),if(REGEXMATCH(C189,""G""),"" Green"",""""),if(REGEXMATCH(C189,""B""),"" Blue"",""""),if(REGEXMATCH(C189,""P""),"" "&amp;"Purple"",""""))")," Green")</f>
        <v>Green</v>
      </c>
      <c r="U189" s="4" t="str">
        <f>IFERROR(__xludf.DUMMYFUNCTION("TRIM(CONCAT(""[right]"", REGEXREPLACE(C189, ""([ROYGBPXZC_]|1?[0-9])"", ""[img=119]res://textures/icons/$0.png[/img]\\n"")))"),"[right][img=119]res://textures/icons/1.png[/img]\n[img=119]res://textures/icons/G.png[/img]\n")</f>
        <v>[right][img=119]res://textures/icons/1.png[/img]\n[img=119]res://textures/icons/G.png[/img]\n</v>
      </c>
      <c r="V189" s="4" t="str">
        <f>IFERROR(__xludf.DUMMYFUNCTION("SUBSTITUTE(SUBSTITUTE(SUBSTITUTE(SUBSTITUTE(REGEXREPLACE(SUBSTITUTE(SUBSTITUTE(SUBSTITUTE(SUBSTITUTE(REGEXREPLACE(I189, ""(\[([ROYGBPTQUXZC_]|1?[0-9])\])"", ""[img=45]res://textures/icons/$2.png[/img]""),""--"",""—""),""-&gt;"",""•""),""~@"", CONCATENATE(""["&amp;"i]"",REGEXEXTRACT(B189,""^([\s\S]*),|$""),""[/i]"")),""~"", CONCATENATE(""[i]"",B189,""[/i]"")),""(\([\s\S]*?\))"",""[i][color=#34343A]$0[/color][/i]""), ""&lt;"", ""[""), ""&gt;"", ""]""), ""[/p][p]"", ""[font_size=15]\n\n[/font_size]""), ""[br/]"", ""\n"")"),"[center]Choose a generator; return it to its owner's hand.[/center]")</f>
        <v xml:space="preserve">[center]Choose a generator; return it to its owner's hand.[/center]</v>
      </c>
      <c r="W189" s="4" t="str">
        <f t="shared" si="9"/>
        <v>[i]Effect[/i]</v>
      </c>
      <c r="X189" s="4" t="str">
        <f t="shared" si="10"/>
        <v>RT_GC_003</v>
      </c>
    </row>
    <row r="190" outlineLevel="1">
      <c r="A190" s="1" t="s">
        <v>755</v>
      </c>
      <c r="B190" s="1" t="s">
        <v>756</v>
      </c>
      <c r="C190" s="2" t="s">
        <v>757</v>
      </c>
      <c r="D190" s="6" t="str">
        <f>IFERROR(__xludf.DUMMYFUNCTION("IF(EQ(A190,B190),"""",SWITCH(IF(T190="""",0,COUNTA(SPLIT(T190,"" ""))),0,""Generic"",1,TRIM(T190),2,""Multicolor"",3,""Multicolor"",4,""Multicolor"",5,""Multicolor"",6,""Multicolor"",7,""Multicolor"",8,""Multicolor""))"),"Green")</f>
        <v>Green</v>
      </c>
      <c r="E190" s="1" t="s">
        <v>51</v>
      </c>
      <c r="F190" s="1" t="s">
        <v>26</v>
      </c>
      <c r="G190" s="1" t="s">
        <v>758</v>
      </c>
      <c r="H190" s="2" t="s">
        <v>50</v>
      </c>
      <c r="I190" s="7" t="s">
        <v>759</v>
      </c>
      <c r="J190" s="3" t="s">
        <v>760</v>
      </c>
      <c r="K190" s="1">
        <v>1</v>
      </c>
      <c r="L190" s="1">
        <v>1</v>
      </c>
      <c r="O190" s="3"/>
      <c r="Q190" s="1">
        <v>60</v>
      </c>
      <c r="R190" s="1">
        <v>50</v>
      </c>
      <c r="S190" s="4" t="str">
        <f t="shared" si="8"/>
        <v>True</v>
      </c>
      <c r="T190" s="4" t="str">
        <f>IFERROR(__xludf.DUMMYFUNCTION("CONCATENATE(if(REGEXMATCH(C190,""R""),"" Red"",""""),if(REGEXMATCH(C190,""O""),"" Orange"",""""),if(REGEXMATCH(C190,""Y""),"" Yellow"",""""),if(REGEXMATCH(C190,""G""),"" Green"",""""),if(REGEXMATCH(C190,""B""),"" Blue"",""""),if(REGEXMATCH(C190,""P""),"" "&amp;"Purple"",""""))")," Green")</f>
        <v>Green</v>
      </c>
      <c r="U190" s="4" t="str">
        <f>IFERROR(__xludf.DUMMYFUNCTION("TRIM(CONCAT(""[right]"", REGEXREPLACE(C190, ""([ROYGBPXZC_]|1?[0-9])"", ""[img=119]res://textures/icons/$0.png[/img]\\n"")))"),"[right][img=119]res://textures/icons/G.png[/img]\n")</f>
        <v>[right][img=119]res://textures/icons/G.png[/img]\n</v>
      </c>
      <c r="V190" s="4" t="str">
        <f>IFERROR(__xludf.DUMMYFUNCTION("SUBSTITUTE(SUBSTITUTE(SUBSTITUTE(SUBSTITUTE(REGEXREPLACE(SUBSTITUTE(SUBSTITUTE(SUBSTITUTE(SUBSTITUTE(REGEXREPLACE(I190, ""(\[([ROYGBPTQUXZC_]|1?[0-9])\])"", ""[img=45]res://textures/icons/$2.png[/img]""),""--"",""—""),""-&gt;"",""•""),""~@"", CONCATENATE(""["&amp;"i]"",REGEXEXTRACT(B190,""^([\s\S]*),|$""),""[/i]"")),""~"", CONCATENATE(""[i]"",B190,""[/i]"")),""(\([\s\S]*?\))"",""[i][color=#34343A]$0[/color][/i]""), ""&lt;"", ""[""), ""&gt;"", ""]""), ""[/p][p]"", ""[font_size=15]\n\n[/font_size]""), ""[br/]"", ""\n"")"),"[center][img=45]res://textures/icons/T.png[/img]: Add [img=45]res://textures/icons/G.png[/img].[/center]")</f>
        <v xml:space="preserve">[center][img=45]res://textures/icons/T.png[/img]: Add [img=45]res://textures/icons/G.png[/img].[/center]</v>
      </c>
      <c r="W190" s="4" t="str">
        <f t="shared" si="9"/>
        <v>[i]Asset[/i]</v>
      </c>
      <c r="X190" s="4" t="str">
        <f t="shared" si="10"/>
        <v>RT_GC_004</v>
      </c>
    </row>
    <row r="191" outlineLevel="1">
      <c r="A191" s="1" t="s">
        <v>761</v>
      </c>
      <c r="B191" s="1" t="s">
        <v>762</v>
      </c>
      <c r="C191" s="2" t="s">
        <v>757</v>
      </c>
      <c r="D191" s="6" t="str">
        <f>IFERROR(__xludf.DUMMYFUNCTION("IF(EQ(A191,B191),"""",SWITCH(IF(T191="""",0,COUNTA(SPLIT(T191,"" ""))),0,""Generic"",1,TRIM(T191),2,""Multicolor"",3,""Multicolor"",4,""Multicolor"",5,""Multicolor"",6,""Multicolor"",7,""Multicolor"",8,""Multicolor""))"),"Green")</f>
        <v>Green</v>
      </c>
      <c r="E191" s="1" t="s">
        <v>51</v>
      </c>
      <c r="F191" s="1" t="s">
        <v>26</v>
      </c>
      <c r="G191" s="1" t="s">
        <v>763</v>
      </c>
      <c r="H191" s="2" t="s">
        <v>50</v>
      </c>
      <c r="I191" s="3"/>
      <c r="J191" s="3"/>
      <c r="K191" s="1">
        <v>1</v>
      </c>
      <c r="L191" s="1">
        <v>4</v>
      </c>
      <c r="O191" s="3"/>
      <c r="Q191" s="1">
        <v>60</v>
      </c>
      <c r="R191" s="1">
        <v>35</v>
      </c>
      <c r="S191" s="4" t="str">
        <f t="shared" si="8"/>
        <v>True</v>
      </c>
      <c r="T191" s="4" t="str">
        <f>IFERROR(__xludf.DUMMYFUNCTION("CONCATENATE(if(REGEXMATCH(C191,""R""),"" Red"",""""),if(REGEXMATCH(C191,""O""),"" Orange"",""""),if(REGEXMATCH(C191,""Y""),"" Yellow"",""""),if(REGEXMATCH(C191,""G""),"" Green"",""""),if(REGEXMATCH(C191,""B""),"" Blue"",""""),if(REGEXMATCH(C191,""P""),"" "&amp;"Purple"",""""))")," Green")</f>
        <v>Green</v>
      </c>
      <c r="U191" s="4" t="str">
        <f>IFERROR(__xludf.DUMMYFUNCTION("TRIM(CONCAT(""[right]"", REGEXREPLACE(C191, ""([ROYGBPXZC_]|1?[0-9])"", ""[img=119]res://textures/icons/$0.png[/img]\\n"")))"),"[right][img=119]res://textures/icons/G.png[/img]\n")</f>
        <v>[right][img=119]res://textures/icons/G.png[/img]\n</v>
      </c>
      <c r="V191" s="4" t="str">
        <f>IFERROR(__xludf.DUMMYFUNCTION("SUBSTITUTE(SUBSTITUTE(SUBSTITUTE(SUBSTITUTE(REGEXREPLACE(SUBSTITUTE(SUBSTITUTE(SUBSTITUTE(SUBSTITUTE(REGEXREPLACE(I191, ""(\[([ROYGBPTQUXZC_]|1?[0-9])\])"", ""[img=45]res://textures/icons/$2.png[/img]""),""--"",""—""),""-&gt;"",""•""),""~@"", CONCATENATE(""["&amp;"i]"",REGEXEXTRACT(B191,""^([\s\S]*),|$""),""[/i]"")),""~"", CONCATENATE(""[i]"",B191,""[/i]"")),""(\([\s\S]*?\))"",""[i][color=#34343A]$0[/color][/i]""), ""&lt;"", ""[""), ""&gt;"", ""]""), ""[/p][p]"", ""[font_size=15]\n\n[/font_size]""), ""[br/]"", ""\n"")"),"")</f>
        <v/>
      </c>
      <c r="W191" s="4" t="str">
        <f t="shared" si="9"/>
        <v>[i]Asset[/i]</v>
      </c>
      <c r="X191" s="4" t="str">
        <f t="shared" si="10"/>
        <v>RT_GC_005</v>
      </c>
    </row>
    <row r="192" outlineLevel="1">
      <c r="A192" s="1" t="s">
        <v>764</v>
      </c>
      <c r="B192" s="1" t="s">
        <v>765</v>
      </c>
      <c r="C192" s="2" t="s">
        <v>744</v>
      </c>
      <c r="D192" s="6" t="str">
        <f>IFERROR(__xludf.DUMMYFUNCTION("IF(EQ(A192,B192),"""",SWITCH(IF(T192="""",0,COUNTA(SPLIT(T192,"" ""))),0,""Generic"",1,TRIM(T192),2,""Multicolor"",3,""Multicolor"",4,""Multicolor"",5,""Multicolor"",6,""Multicolor"",7,""Multicolor"",8,""Multicolor""))"),"Green")</f>
        <v>Green</v>
      </c>
      <c r="E192" s="1" t="s">
        <v>79</v>
      </c>
      <c r="F192" s="1" t="s">
        <v>26</v>
      </c>
      <c r="G192" s="1" t="s">
        <v>766</v>
      </c>
      <c r="H192" s="2" t="s">
        <v>50</v>
      </c>
      <c r="I192" s="3"/>
      <c r="J192" s="3"/>
      <c r="K192" s="1">
        <v>3</v>
      </c>
      <c r="L192" s="1">
        <v>5</v>
      </c>
      <c r="O192" s="3"/>
      <c r="Q192" s="1">
        <v>60</v>
      </c>
      <c r="R192" s="1">
        <v>50</v>
      </c>
      <c r="S192" s="4" t="str">
        <f t="shared" si="8"/>
        <v>True</v>
      </c>
      <c r="T192" s="4" t="str">
        <f>IFERROR(__xludf.DUMMYFUNCTION("CONCATENATE(if(REGEXMATCH(C192,""R""),"" Red"",""""),if(REGEXMATCH(C192,""O""),"" Orange"",""""),if(REGEXMATCH(C192,""Y""),"" Yellow"",""""),if(REGEXMATCH(C192,""G""),"" Green"",""""),if(REGEXMATCH(C192,""B""),"" Blue"",""""),if(REGEXMATCH(C192,""P""),"" "&amp;"Purple"",""""))")," Green")</f>
        <v>Green</v>
      </c>
      <c r="U192" s="4" t="str">
        <f>IFERROR(__xludf.DUMMYFUNCTION("TRIM(CONCAT(""[right]"", REGEXREPLACE(C192, ""([ROYGBPXZC_]|1?[0-9])"", ""[img=119]res://textures/icons/$0.png[/img]\\n"")))"),"[right][img=119]res://textures/icons/1.png[/img]\n[img=119]res://textures/icons/G.png[/img]\n")</f>
        <v>[right][img=119]res://textures/icons/1.png[/img]\n[img=119]res://textures/icons/G.png[/img]\n</v>
      </c>
      <c r="V192" s="4" t="str">
        <f>IFERROR(__xludf.DUMMYFUNCTION("SUBSTITUTE(SUBSTITUTE(SUBSTITUTE(SUBSTITUTE(REGEXREPLACE(SUBSTITUTE(SUBSTITUTE(SUBSTITUTE(SUBSTITUTE(REGEXREPLACE(I192, ""(\[([ROYGBPTQUXZC_]|1?[0-9])\])"", ""[img=45]res://textures/icons/$2.png[/img]""),""--"",""—""),""-&gt;"",""•""),""~@"", CONCATENATE(""["&amp;"i]"",REGEXEXTRACT(B192,""^([\s\S]*),|$""),""[/i]"")),""~"", CONCATENATE(""[i]"",B192,""[/i]"")),""(\([\s\S]*?\))"",""[i][color=#34343A]$0[/color][/i]""), ""&lt;"", ""[""), ""&gt;"", ""]""), ""[/p][p]"", ""[font_size=15]\n\n[/font_size]""), ""[br/]"", ""\n"")"),"")</f>
        <v/>
      </c>
      <c r="W192" s="4" t="str">
        <f t="shared" si="9"/>
        <v>[i]Asset[/i]</v>
      </c>
      <c r="X192" s="4" t="str">
        <f t="shared" si="10"/>
        <v>RT_GC_006</v>
      </c>
    </row>
    <row r="193" outlineLevel="1">
      <c r="A193" s="1" t="s">
        <v>767</v>
      </c>
      <c r="B193" s="1" t="s">
        <v>768</v>
      </c>
      <c r="C193" s="2" t="s">
        <v>757</v>
      </c>
      <c r="D193" s="6" t="str">
        <f>IFERROR(__xludf.DUMMYFUNCTION("IF(EQ(A193,B193),"""",SWITCH(IF(T193="""",0,COUNTA(SPLIT(T193,"" ""))),0,""Generic"",1,TRIM(T193),2,""Multicolor"",3,""Multicolor"",4,""Multicolor"",5,""Multicolor"",6,""Multicolor"",7,""Multicolor"",8,""Multicolor""))"),"Green")</f>
        <v>Green</v>
      </c>
      <c r="E193" s="1" t="s">
        <v>51</v>
      </c>
      <c r="F193" s="1" t="s">
        <v>26</v>
      </c>
      <c r="G193" s="1" t="s">
        <v>769</v>
      </c>
      <c r="H193" s="2" t="s">
        <v>32</v>
      </c>
      <c r="I193" s="3" t="s">
        <v>770</v>
      </c>
      <c r="J193" s="3"/>
      <c r="K193" s="1">
        <v>1</v>
      </c>
      <c r="L193" s="1">
        <v>1</v>
      </c>
      <c r="O193" s="3"/>
      <c r="Q193" s="1">
        <v>60</v>
      </c>
      <c r="R193" s="1">
        <v>40</v>
      </c>
      <c r="S193" s="4" t="str">
        <f t="shared" si="8"/>
        <v>True</v>
      </c>
      <c r="T193" s="4" t="str">
        <f>IFERROR(__xludf.DUMMYFUNCTION("CONCATENATE(if(REGEXMATCH(C193,""R""),"" Red"",""""),if(REGEXMATCH(C193,""O""),"" Orange"",""""),if(REGEXMATCH(C193,""Y""),"" Yellow"",""""),if(REGEXMATCH(C193,""G""),"" Green"",""""),if(REGEXMATCH(C193,""B""),"" Blue"",""""),if(REGEXMATCH(C193,""P""),"" "&amp;"Purple"",""""))")," Green")</f>
        <v>Green</v>
      </c>
      <c r="U193" s="4" t="str">
        <f>IFERROR(__xludf.DUMMYFUNCTION("TRIM(CONCAT(""[right]"", REGEXREPLACE(C193, ""([ROYGBPXZC_]|1?[0-9])"", ""[img=119]res://textures/icons/$0.png[/img]\\n"")))"),"[right][img=119]res://textures/icons/G.png[/img]\n")</f>
        <v>[right][img=119]res://textures/icons/G.png[/img]\n</v>
      </c>
      <c r="V193" s="4" t="str">
        <f>IFERROR(__xludf.DUMMYFUNCTION("SUBSTITUTE(SUBSTITUTE(SUBSTITUTE(SUBSTITUTE(REGEXREPLACE(SUBSTITUTE(SUBSTITUTE(SUBSTITUTE(SUBSTITUTE(REGEXREPLACE(I193, ""(\[([ROYGBPTQUXZC_]|1?[0-9])\])"", ""[img=45]res://textures/icons/$2.png[/img]""),""--"",""—""),""-&gt;"",""•""),""~@"", CONCATENATE(""["&amp;"i]"",REGEXEXTRACT(B193,""^([\s\S]*),|$""),""[/i]"")),""~"", CONCATENATE(""[i]"",B193,""[/i]"")),""(\([\s\S]*?\))"",""[i][color=#34343A]$0[/color][/i]""), ""&lt;"", ""[""), ""&gt;"", ""]""), ""[/p][p]"", ""[font_size=15]\n\n[/font_size]""), ""[br/]"", ""\n"")"),"[u]Twice[/u] [i][color=#34343A](As you activate this effect for the second time, remove it from this card)[/color][/i]: Add 1 energy of any type to your bank.")</f>
        <v xml:space="preserve">[u]Twice[/u] [i][color=#34343A](As you activate this effect for the second time, remove it from this card)[/color][/i]: Add 1 energy of any type to your bank.</v>
      </c>
      <c r="W193" s="4" t="str">
        <f t="shared" si="9"/>
        <v>[i]Asset[/i]</v>
      </c>
      <c r="X193" s="4" t="str">
        <f t="shared" si="10"/>
        <v>RT_GC_007</v>
      </c>
    </row>
    <row r="194" outlineLevel="1">
      <c r="A194" s="1" t="s">
        <v>771</v>
      </c>
      <c r="B194" s="1" t="s">
        <v>772</v>
      </c>
      <c r="C194" s="2" t="s">
        <v>696</v>
      </c>
      <c r="D194" s="6" t="str">
        <f>IFERROR(__xludf.DUMMYFUNCTION("IF(EQ(A194,B194),"""",SWITCH(IF(T194="""",0,COUNTA(SPLIT(T194,"" ""))),0,""Generic"",1,TRIM(T194),2,""Multicolor"",3,""Multicolor"",4,""Multicolor"",5,""Multicolor"",6,""Multicolor"",7,""Multicolor"",8,""Multicolor""))"),"Green")</f>
        <v>Green</v>
      </c>
      <c r="E194" s="1" t="s">
        <v>79</v>
      </c>
      <c r="F194" s="1" t="s">
        <v>26</v>
      </c>
      <c r="G194" s="1" t="s">
        <v>773</v>
      </c>
      <c r="H194" s="2" t="s">
        <v>50</v>
      </c>
      <c r="I194" s="3" t="s">
        <v>774</v>
      </c>
      <c r="J194" s="3" t="s">
        <v>775</v>
      </c>
      <c r="K194" s="1">
        <v>1</v>
      </c>
      <c r="L194" s="1">
        <v>5</v>
      </c>
      <c r="O194" s="3"/>
      <c r="Q194" s="1">
        <v>40</v>
      </c>
      <c r="R194" s="1">
        <v>40</v>
      </c>
      <c r="S194" s="4" t="str">
        <f t="shared" ref="S194:S257" si="11">IF(ISBLANK(A194),"",IF(EQ(LEN(TRIM(K194)),0),"False","True"))</f>
        <v>True</v>
      </c>
      <c r="T194" s="4" t="str">
        <f>IFERROR(__xludf.DUMMYFUNCTION("CONCATENATE(if(REGEXMATCH(C194,""R""),"" Red"",""""),if(REGEXMATCH(C194,""O""),"" Orange"",""""),if(REGEXMATCH(C194,""Y""),"" Yellow"",""""),if(REGEXMATCH(C194,""G""),"" Green"",""""),if(REGEXMATCH(C194,""B""),"" Blue"",""""),if(REGEXMATCH(C194,""P""),"" "&amp;"Purple"",""""))")," Green")</f>
        <v>Green</v>
      </c>
      <c r="U194" s="4" t="str">
        <f>IFERROR(__xludf.DUMMYFUNCTION("TRIM(CONCAT(""[right]"", REGEXREPLACE(C194, ""([ROYGBPXZC_]|1?[0-9])"", ""[img=119]res://textures/icons/$0.png[/img]\\n"")))"),"[right][img=119]res://textures/icons/1.png[/img]\n[img=119]res://textures/icons/G.png[/img]\n[img=119]res://textures/icons/G.png[/img]\n")</f>
        <v>[right][img=119]res://textures/icons/1.png[/img]\n[img=119]res://textures/icons/G.png[/img]\n[img=119]res://textures/icons/G.png[/img]\n</v>
      </c>
      <c r="V194" s="4" t="str">
        <f>IFERROR(__xludf.DUMMYFUNCTION("SUBSTITUTE(SUBSTITUTE(SUBSTITUTE(SUBSTITUTE(REGEXREPLACE(SUBSTITUTE(SUBSTITUTE(SUBSTITUTE(SUBSTITUTE(REGEXREPLACE(I194, ""(\[([ROYGBPTQUXZC_]|1?[0-9])\])"", ""[img=45]res://textures/icons/$2.png[/img]""),""--"",""—""),""-&gt;"",""•""),""~@"", CONCATENATE(""["&amp;"i]"",REGEXEXTRACT(B194,""^([\s\S]*),|$""),""[/i]"")),""~"", CONCATENATE(""[i]"",B194,""[/i]"")),""(\([\s\S]*?\))"",""[i][color=#34343A]$0[/color][/i]""), ""&lt;"", ""[""), ""&gt;"", ""]""), ""[/p][p]"", ""[font_size=15]\n\n[/font_size]""), ""[br/]"", ""\n"")"),"[img=45]res://textures/icons/T.png[/img]: Choose a combatant; [u]Heal it 3[/u] [i][color=#34343A](If the specified asset has attack power or health reductions, reduce them by 3 [reducing permanent reductions first]. Otherwise remove 3 damage from it.)[/co"&amp;"lor][/i]")</f>
        <v xml:space="preserve">[img=45]res://textures/icons/T.png[/img]: Choose a combatant; [u]Heal it 3[/u] [i][color=#34343A](If the specified asset has attack power or health reductions, reduce them by 3 [reducing permanent reductions first]. Otherwise remove 3 damage from it.)[/color][/i]</v>
      </c>
      <c r="W194" s="4" t="str">
        <f t="shared" ref="W194:W257" si="12">CONCATENATE("[i]",F194,"[/i]")</f>
        <v>[i]Asset[/i]</v>
      </c>
      <c r="X194" s="4" t="str">
        <f t="shared" ref="X194:X257" si="13">IF(EQ(A194,B194),"0",CONCATENATE("RT_",A194))</f>
        <v>RT_GC_008</v>
      </c>
    </row>
    <row r="195" outlineLevel="1">
      <c r="A195" s="1" t="s">
        <v>776</v>
      </c>
      <c r="B195" s="1" t="s">
        <v>777</v>
      </c>
      <c r="C195" s="2" t="s">
        <v>744</v>
      </c>
      <c r="D195" s="6" t="str">
        <f>IFERROR(__xludf.DUMMYFUNCTION("IF(EQ(A195,B195),"""",SWITCH(IF(T195="""",0,COUNTA(SPLIT(T195,"" ""))),0,""Generic"",1,TRIM(T195),2,""Multicolor"",3,""Multicolor"",4,""Multicolor"",5,""Multicolor"",6,""Multicolor"",7,""Multicolor"",8,""Multicolor""))"),"Green")</f>
        <v>Green</v>
      </c>
      <c r="E195" s="1" t="s">
        <v>51</v>
      </c>
      <c r="F195" s="1" t="s">
        <v>26</v>
      </c>
      <c r="G195" s="1" t="s">
        <v>778</v>
      </c>
      <c r="H195" s="2" t="s">
        <v>50</v>
      </c>
      <c r="I195" s="11" t="s">
        <v>779</v>
      </c>
      <c r="J195" s="3"/>
      <c r="K195" s="1">
        <v>1</v>
      </c>
      <c r="L195" s="1">
        <v>1</v>
      </c>
      <c r="O195" s="3"/>
      <c r="Q195" s="1">
        <v>45</v>
      </c>
      <c r="R195" s="1">
        <v>35</v>
      </c>
      <c r="S195" s="4" t="str">
        <f t="shared" si="11"/>
        <v>True</v>
      </c>
      <c r="T195" s="4" t="str">
        <f>IFERROR(__xludf.DUMMYFUNCTION("CONCATENATE(if(REGEXMATCH(C195,""R""),"" Red"",""""),if(REGEXMATCH(C195,""O""),"" Orange"",""""),if(REGEXMATCH(C195,""Y""),"" Yellow"",""""),if(REGEXMATCH(C195,""G""),"" Green"",""""),if(REGEXMATCH(C195,""B""),"" Blue"",""""),if(REGEXMATCH(C195,""P""),"" "&amp;"Purple"",""""))")," Green")</f>
        <v>Green</v>
      </c>
      <c r="U195" s="4" t="str">
        <f>IFERROR(__xludf.DUMMYFUNCTION("TRIM(CONCAT(""[right]"", REGEXREPLACE(C195, ""([ROYGBPXZC_]|1?[0-9])"", ""[img=119]res://textures/icons/$0.png[/img]\\n"")))"),"[right][img=119]res://textures/icons/1.png[/img]\n[img=119]res://textures/icons/G.png[/img]\n")</f>
        <v>[right][img=119]res://textures/icons/1.png[/img]\n[img=119]res://textures/icons/G.png[/img]\n</v>
      </c>
      <c r="V195" s="4" t="str">
        <f>IFERROR(__xludf.DUMMYFUNCTION("SUBSTITUTE(SUBSTITUTE(SUBSTITUTE(SUBSTITUTE(REGEXREPLACE(SUBSTITUTE(SUBSTITUTE(SUBSTITUTE(SUBSTITUTE(REGEXREPLACE(I195, ""(\[([ROYGBPTQUXZC_]|1?[0-9])\])"", ""[img=45]res://textures/icons/$2.png[/img]""),""--"",""—""),""-&gt;"",""•""),""~@"", CONCATENATE(""["&amp;"i]"",REGEXEXTRACT(B195,""^([\s\S]*),|$""),""[/i]"")),""~"", CONCATENATE(""[i]"",B195,""[/i]"")),""(\([\s\S]*?\))"",""[i][color=#34343A]$0[/color][/i]""), ""&lt;"", ""[""), ""&gt;"", ""]""), ""[/p][p]"", ""[font_size=15]\n\n[/font_size]""), ""[br/]"", ""\n"")"),"[center]When [i]Public Relations Expert[/i] enters the battlefield, your commander gains 6 loyalty.[/center]")</f>
        <v xml:space="preserve">[center]When [i]Public Relations Expert[/i] enters the battlefield, your commander gains 6 loyalty.[/center]</v>
      </c>
      <c r="W195" s="4" t="str">
        <f t="shared" si="12"/>
        <v>[i]Asset[/i]</v>
      </c>
      <c r="X195" s="4" t="str">
        <f t="shared" si="13"/>
        <v>RT_GC_009</v>
      </c>
    </row>
    <row r="196" outlineLevel="1">
      <c r="A196" s="1" t="s">
        <v>780</v>
      </c>
      <c r="B196" s="1" t="s">
        <v>781</v>
      </c>
      <c r="C196" s="2" t="s">
        <v>757</v>
      </c>
      <c r="D196" s="6" t="str">
        <f>IFERROR(__xludf.DUMMYFUNCTION("IF(EQ(A196,B196),"""",SWITCH(IF(T196="""",0,COUNTA(SPLIT(T196,"" ""))),0,""Generic"",1,TRIM(T196),2,""Multicolor"",3,""Multicolor"",4,""Multicolor"",5,""Multicolor"",6,""Multicolor"",7,""Multicolor"",8,""Multicolor""))"),"Green")</f>
        <v>Green</v>
      </c>
      <c r="E196" s="1" t="s">
        <v>51</v>
      </c>
      <c r="F196" s="1" t="s">
        <v>26</v>
      </c>
      <c r="G196" s="1" t="s">
        <v>273</v>
      </c>
      <c r="H196" s="2" t="s">
        <v>50</v>
      </c>
      <c r="I196" s="3" t="s">
        <v>782</v>
      </c>
      <c r="J196" s="3"/>
      <c r="K196" s="1">
        <v>1</v>
      </c>
      <c r="L196" s="1">
        <v>1</v>
      </c>
      <c r="O196" s="3"/>
      <c r="Q196" s="1">
        <v>60</v>
      </c>
      <c r="R196" s="1">
        <v>50</v>
      </c>
      <c r="S196" s="4" t="str">
        <f t="shared" si="11"/>
        <v>True</v>
      </c>
      <c r="T196" s="4" t="str">
        <f>IFERROR(__xludf.DUMMYFUNCTION("CONCATENATE(if(REGEXMATCH(C196,""R""),"" Red"",""""),if(REGEXMATCH(C196,""O""),"" Orange"",""""),if(REGEXMATCH(C196,""Y""),"" Yellow"",""""),if(REGEXMATCH(C196,""G""),"" Green"",""""),if(REGEXMATCH(C196,""B""),"" Blue"",""""),if(REGEXMATCH(C196,""P""),"" "&amp;"Purple"",""""))")," Green")</f>
        <v>Green</v>
      </c>
      <c r="U196" s="4" t="str">
        <f>IFERROR(__xludf.DUMMYFUNCTION("TRIM(CONCAT(""[right]"", REGEXREPLACE(C196, ""([ROYGBPXZC_]|1?[0-9])"", ""[img=119]res://textures/icons/$0.png[/img]\\n"")))"),"[right][img=119]res://textures/icons/G.png[/img]\n")</f>
        <v>[right][img=119]res://textures/icons/G.png[/img]\n</v>
      </c>
      <c r="V196" s="4" t="str">
        <f>IFERROR(__xludf.DUMMYFUNCTION("SUBSTITUTE(SUBSTITUTE(SUBSTITUTE(SUBSTITUTE(REGEXREPLACE(SUBSTITUTE(SUBSTITUTE(SUBSTITUTE(SUBSTITUTE(REGEXREPLACE(I196, ""(\[([ROYGBPTQUXZC_]|1?[0-9])\])"", ""[img=45]res://textures/icons/$2.png[/img]""),""--"",""—""),""-&gt;"",""•""),""~@"", CONCATENATE(""["&amp;"i]"",REGEXEXTRACT(B196,""^([\s\S]*),|$""),""[/i]"")),""~"", CONCATENATE(""[i]"",B196,""[/i]"")),""(\([\s\S]*?\))"",""[i][color=#34343A]$0[/color][/i]""), ""&lt;"", ""[""), ""&gt;"", ""]""), ""[/p][p]"", ""[font_size=15]\n\n[/font_size]""), ""[br/]"", ""\n"")"),"[center][u]Sluggish[/u] [i][color=#34343A](The specified asset deals combat damage after assets without sluggish.)[/color][/i][/center][p]When [i]Venerated Elder[/i] dies, each player draws a card.[/p]")</f>
        <v xml:space="preserve">[center][u]Sluggish[/u] [i][color=#34343A](The specified asset deals combat damage after assets without sluggish.)[/color][/i][/center][p]When [i]Venerated Elder[/i] dies, each player draws a card.[/p]</v>
      </c>
      <c r="W196" s="4" t="str">
        <f t="shared" si="12"/>
        <v>[i]Asset[/i]</v>
      </c>
      <c r="X196" s="4" t="str">
        <f t="shared" si="13"/>
        <v>RT_GC_010</v>
      </c>
    </row>
    <row r="197">
      <c r="A197" s="1" t="s">
        <v>783</v>
      </c>
      <c r="B197" s="4" t="s">
        <v>784</v>
      </c>
      <c r="C197" s="5" t="s">
        <v>692</v>
      </c>
      <c r="D197" s="6" t="str">
        <f>IFERROR(__xludf.DUMMYFUNCTION("IF(EQ(A175,B197),"""",SWITCH(IF(T175="""",0,COUNTA(SPLIT(T175,"" ""))),0,""Generic"",1,TRIM(T175),2,""Multicolor"",3,""Multicolor"",4,""Multicolor"",5,""Multicolor"",6,""Multicolor"",7,""Multicolor"",8,""Multicolor""))"),"Green")</f>
        <v>Green</v>
      </c>
      <c r="E197" s="4"/>
      <c r="F197" s="4" t="s">
        <v>33</v>
      </c>
      <c r="G197" s="4" t="s">
        <v>785</v>
      </c>
      <c r="H197" s="5" t="s">
        <v>134</v>
      </c>
      <c r="I197" s="7" t="s">
        <v>786</v>
      </c>
      <c r="J197" s="3"/>
      <c r="O197" s="3"/>
      <c r="Q197" s="1">
        <v>60</v>
      </c>
      <c r="R197" s="1">
        <v>50</v>
      </c>
      <c r="S197" s="4" t="str">
        <f t="shared" si="11"/>
        <v>False</v>
      </c>
      <c r="T197" s="4" t="str">
        <f>IFERROR(__xludf.DUMMYFUNCTION("CONCATENATE(if(REGEXMATCH(C197,""R""),"" Red"",""""),if(REGEXMATCH(C197,""O""),"" Orange"",""""),if(REGEXMATCH(C197,""Y""),"" Yellow"",""""),if(REGEXMATCH(C197,""G""),"" Green"",""""),if(REGEXMATCH(C197,""B""),"" Blue"",""""),if(REGEXMATCH(C197,""P""),"" "&amp;"Purple"",""""))")," Green")</f>
        <v>Green</v>
      </c>
      <c r="U197" s="4" t="str">
        <f>IFERROR(__xludf.DUMMYFUNCTION("TRIM(CONCAT(""[right]"", REGEXREPLACE(C197, ""([ROYGBPXZC_]|1?[0-9])"", ""[img=119]res://textures/icons/$0.png[/img]\\n"")))"),"[right][img=119]res://textures/icons/2.png[/img]\n[img=119]res://textures/icons/G.png[/img]\n")</f>
        <v>[right][img=119]res://textures/icons/2.png[/img]\n[img=119]res://textures/icons/G.png[/img]\n</v>
      </c>
      <c r="V197" s="4" t="str">
        <f>IFERROR(__xludf.DUMMYFUNCTION("SUBSTITUTE(SUBSTITUTE(SUBSTITUTE(SUBSTITUTE(REGEXREPLACE(SUBSTITUTE(SUBSTITUTE(SUBSTITUTE(SUBSTITUTE(REGEXREPLACE(I197, ""(\[([ROYGBPTQUXZC_]|1?[0-9])\])"", ""[img=45]res://textures/icons/$2.png[/img]""),""--"",""—""),""-&gt;"",""•""),""~@"", CONCATENATE(""["&amp;"i]"",REGEXEXTRACT(B197,""^([\s\S]*),|$""),""[/i]"")),""~"", CONCATENATE(""[i]"",B197,""[/i]"")),""(\([\s\S]*?\))"",""[i][color=#34343A]$0[/color][/i]""), ""&lt;"", ""[""), ""&gt;"", ""]""), ""[/p][p]"", ""[font_size=15]\n\n[/font_size]""), ""[br/]"", ""\n"")"),"[center][u]Tax[/u] [i][color=#34343A](When [i]Medical Expenses[/i] resolves, if it is not a copy, copy it for each other card and effect on the stack.)[/color][/i][/center][p]Your commander gains 4 loyalty.[/p]")</f>
        <v xml:space="preserve">[center][u]Tax[/u] [i][color=#34343A](When [i]Medical Expenses[/i] resolves, if it is not a copy, copy it for each other card and effect on the stack.)[/color][/i][/center][p]Your commander gains 4 loyalty.[/p]</v>
      </c>
      <c r="W197" s="4" t="str">
        <f t="shared" si="12"/>
        <v>[i]Effect[/i]</v>
      </c>
      <c r="X197" s="4" t="str">
        <f t="shared" si="13"/>
        <v>RT_GC_011</v>
      </c>
    </row>
    <row r="198" outlineLevel="1">
      <c r="A198" s="1" t="s">
        <v>787</v>
      </c>
      <c r="B198" s="1" t="str">
        <f t="shared" ref="B179:B242" si="14">A198</f>
        <v>GC_012</v>
      </c>
      <c r="C198" s="2"/>
      <c r="D198" s="6" t="str">
        <f>IFERROR(__xludf.DUMMYFUNCTION("IF(EQ(A198,B198),"""",SWITCH(IF(T198="""",0,COUNTA(SPLIT(T198,"" ""))),0,""Generic"",1,TRIM(T198),2,""Multicolor"",3,""Multicolor"",4,""Multicolor"",5,""Multicolor"",6,""Multicolor"",7,""Multicolor"",8,""Multicolor""))"),"")</f>
        <v/>
      </c>
      <c r="E198" s="1"/>
      <c r="F198" s="1"/>
      <c r="H198" s="2"/>
      <c r="I198" s="3"/>
      <c r="J198" s="3"/>
      <c r="O198" s="3"/>
      <c r="Q198" s="1">
        <v>60</v>
      </c>
      <c r="R198" s="1">
        <v>50</v>
      </c>
      <c r="S198" s="4" t="str">
        <f t="shared" si="11"/>
        <v>False</v>
      </c>
      <c r="T198" s="4" t="str">
        <f>IFERROR(__xludf.DUMMYFUNCTION("CONCATENATE(if(REGEXMATCH(C198,""R""),"" Red"",""""),if(REGEXMATCH(C198,""O""),"" Orange"",""""),if(REGEXMATCH(C198,""Y""),"" Yellow"",""""),if(REGEXMATCH(C198,""G""),"" Green"",""""),if(REGEXMATCH(C198,""B""),"" Blue"",""""),if(REGEXMATCH(C198,""P""),"" "&amp;"Purple"",""""))"),"")</f>
        <v/>
      </c>
      <c r="U198" s="4" t="str">
        <f>IFERROR(__xludf.DUMMYFUNCTION("TRIM(CONCAT(""[right]"", REGEXREPLACE(C198, ""([ROYGBPXZC_]|1?[0-9])"", ""[img=119]res://textures/icons/$0.png[/img]\\n"")))"),"[right]")</f>
        <v>[right]</v>
      </c>
      <c r="V198" s="4" t="str">
        <f>IFERROR(__xludf.DUMMYFUNCTION("SUBSTITUTE(SUBSTITUTE(SUBSTITUTE(SUBSTITUTE(REGEXREPLACE(SUBSTITUTE(SUBSTITUTE(SUBSTITUTE(SUBSTITUTE(REGEXREPLACE(I198, ""(\[([ROYGBPTQUXZC_]|1?[0-9])\])"", ""[img=45]res://textures/icons/$2.png[/img]""),""--"",""—""),""-&gt;"",""•""),""~@"", CONCATENATE(""["&amp;"i]"",REGEXEXTRACT(B198,""^([\s\S]*),|$""),""[/i]"")),""~"", CONCATENATE(""[i]"",B198,""[/i]"")),""(\([\s\S]*?\))"",""[i][color=#34343A]$0[/color][/i]""), ""&lt;"", ""[""), ""&gt;"", ""]""), ""[/p][p]"", ""[font_size=15]\n\n[/font_size]""), ""[br/]"", ""\n"")"),"")</f>
        <v/>
      </c>
      <c r="W198" s="4" t="str">
        <f t="shared" si="12"/>
        <v>[i][/i]</v>
      </c>
      <c r="X198" s="4" t="str">
        <f t="shared" si="13"/>
        <v>0</v>
      </c>
    </row>
    <row r="199" outlineLevel="1">
      <c r="A199" s="1" t="s">
        <v>788</v>
      </c>
      <c r="B199" s="1" t="s">
        <v>789</v>
      </c>
      <c r="C199" s="2" t="s">
        <v>790</v>
      </c>
      <c r="D199" s="6" t="str">
        <f>IFERROR(__xludf.DUMMYFUNCTION("IF(EQ(A199,B199),"""",SWITCH(IF(T199="""",0,COUNTA(SPLIT(T199,"" ""))),0,""Generic"",1,TRIM(T199),2,""Multicolor"",3,""Multicolor"",4,""Multicolor"",5,""Multicolor"",6,""Multicolor"",7,""Multicolor"",8,""Multicolor""))"),"Green")</f>
        <v>Green</v>
      </c>
      <c r="E199" s="1" t="s">
        <v>79</v>
      </c>
      <c r="F199" s="1" t="s">
        <v>73</v>
      </c>
      <c r="G199" s="1" t="s">
        <v>791</v>
      </c>
      <c r="H199" s="2" t="s">
        <v>513</v>
      </c>
      <c r="I199" s="3" t="s">
        <v>792</v>
      </c>
      <c r="J199" s="3"/>
      <c r="K199" s="1">
        <v>5</v>
      </c>
      <c r="L199" s="1">
        <v>10</v>
      </c>
      <c r="O199" s="3"/>
      <c r="Q199" s="1">
        <v>45</v>
      </c>
      <c r="R199" s="1">
        <v>35</v>
      </c>
      <c r="S199" s="4" t="str">
        <f t="shared" si="11"/>
        <v>True</v>
      </c>
      <c r="T199" s="4" t="str">
        <f>IFERROR(__xludf.DUMMYFUNCTION("CONCATENATE(if(REGEXMATCH(C199,""R""),"" Red"",""""),if(REGEXMATCH(C199,""O""),"" Orange"",""""),if(REGEXMATCH(C199,""Y""),"" Yellow"",""""),if(REGEXMATCH(C199,""G""),"" Green"",""""),if(REGEXMATCH(C199,""B""),"" Blue"",""""),if(REGEXMATCH(C199,""P""),"" "&amp;"Purple"",""""))")," Green")</f>
        <v>Green</v>
      </c>
      <c r="U199" s="4" t="str">
        <f>IFERROR(__xludf.DUMMYFUNCTION("TRIM(CONCAT(""[right]"", REGEXREPLACE(C199, ""([ROYGBPXZC_]|1?[0-9])"", ""[img=119]res://textures/icons/$0.png[/img]\\n"")))"),"[right][img=119]res://textures/icons/2.png[/img]\n[img=119]res://textures/icons/G.png[/img]\n[img=119]res://textures/icons/G.png[/img]\n[img=119]res://textures/icons/G.png[/img]\n")</f>
        <v>[right][img=119]res://textures/icons/2.png[/img]\n[img=119]res://textures/icons/G.png[/img]\n[img=119]res://textures/icons/G.png[/img]\n[img=119]res://textures/icons/G.png[/img]\n</v>
      </c>
      <c r="V199" s="4" t="str">
        <f>IFERROR(__xludf.DUMMYFUNCTION("SUBSTITUTE(SUBSTITUTE(SUBSTITUTE(SUBSTITUTE(REGEXREPLACE(SUBSTITUTE(SUBSTITUTE(SUBSTITUTE(SUBSTITUTE(REGEXREPLACE(I199, ""(\[([ROYGBPTQUXZC_]|1?[0-9])\])"", ""[img=45]res://textures/icons/$2.png[/img]""),""--"",""—""),""-&gt;"",""•""),""~@"", CONCATENATE(""["&amp;"i]"",REGEXEXTRACT(B199,""^([\s\S]*),|$""),""[/i]"")),""~"", CONCATENATE(""[i]"",B199,""[/i]"")),""(\([\s\S]*?\))"",""[i][color=#34343A]$0[/color][/i]""), ""&lt;"", ""[""), ""&gt;"", ""]""), ""[/p][p]"", ""[font_size=15]\n\n[/font_size]""), ""[br/]"", ""\n"")"),"[center][i][color=#34343A](Becomes [i]'Grant a Promotion'[/i] if you already control [i]Capt. Stonewall, PMC Commander[/i].)[/color][/i][/center][p][b][i]As Commander[/i] —[/b] Whenever an asset enters the battlefield under your control, you may pay [img="&amp;"45]res://textures/icons/G.png[/img]. If you do, it permanently gains [u]armor X[/u] [i][color=#34343A](X is 1/4 the number of generators you control, rounded up.)[/color][/i][font_size=15]\n\n[/font_size][b][i]As Asset[/i] —[/b] [u]Armor 5[/u][font_size=1"&amp;"5]\n\n[/font_size][img=45]res://textures/icons/G.png[/img], [img=45]res://textures/icons/T.png[/img]: Choose a combatant; its armor or armor is repaired to its original maximum.[/p]")</f>
        <v xml:space="preserve">[center][i][color=#34343A](Becomes [i]'Grant a Promotion'[/i] if you already control [i]Capt. Stonewall, PMC Commander[/i].)[/color][/i][/center][p][b][i]As Commander[/i] —[/b] Whenever an asset enters the battlefield under your control, you may pay [img=45]res://textures/icons/G.png[/img]. If you do, it permanently gains [u]armor X[/u] [i][color=#34343A](X is 1/4 the number of generators you control, rounded up.)[/color][/i][font_size=15]\n\n[/font_size][b][i]As Asset[/i] —[/b] [u]Armor 5[/u][font_size=15]\n\n[/font_size][img=45]res://textures/icons/G.png[/img], [img=45]res://textures/icons/T.png[/img]: Choose a combatant; its armor or armor is repaired to its original maximum.[/p]</v>
      </c>
      <c r="W199" s="4" t="str">
        <f t="shared" si="12"/>
        <v>[i]Commander[/i]</v>
      </c>
      <c r="X199" s="4" t="str">
        <f t="shared" si="13"/>
        <v>RT_G_CMDR_2</v>
      </c>
    </row>
    <row r="200" outlineLevel="1">
      <c r="A200" s="1" t="s">
        <v>793</v>
      </c>
      <c r="B200" s="4" t="s">
        <v>794</v>
      </c>
      <c r="C200" s="5" t="s">
        <v>692</v>
      </c>
      <c r="D200" s="6" t="str">
        <f>IFERROR(__xludf.DUMMYFUNCTION("IF(EQ(A200,B200),"""",SWITCH(IF(T200="""",0,COUNTA(SPLIT(T200,"" ""))),0,""Generic"",1,TRIM(T200),2,""Multicolor"",3,""Multicolor"",4,""Multicolor"",5,""Multicolor"",6,""Multicolor"",7,""Multicolor"",8,""Multicolor""))"),"Green")</f>
        <v>Green</v>
      </c>
      <c r="E200" s="4"/>
      <c r="F200" s="4" t="s">
        <v>87</v>
      </c>
      <c r="G200" s="4" t="s">
        <v>88</v>
      </c>
      <c r="H200" s="5" t="s">
        <v>25</v>
      </c>
      <c r="I200" s="3" t="s">
        <v>795</v>
      </c>
      <c r="J200" s="4"/>
      <c r="K200" s="8"/>
      <c r="L200" s="8"/>
      <c r="O200" s="3"/>
      <c r="Q200" s="1">
        <v>50</v>
      </c>
      <c r="R200" s="1">
        <v>50</v>
      </c>
      <c r="S200" s="4" t="str">
        <f t="shared" si="11"/>
        <v>False</v>
      </c>
      <c r="T200" s="4" t="str">
        <f>IFERROR(__xludf.DUMMYFUNCTION("CONCATENATE(if(REGEXMATCH(C200,""R""),"" Red"",""""),if(REGEXMATCH(C200,""O""),"" Orange"",""""),if(REGEXMATCH(C200,""Y""),"" Yellow"",""""),if(REGEXMATCH(C200,""G""),"" Green"",""""),if(REGEXMATCH(C200,""B""),"" Blue"",""""),if(REGEXMATCH(C200,""P""),"" "&amp;"Purple"",""""))")," Green")</f>
        <v>Green</v>
      </c>
      <c r="U200" s="4" t="str">
        <f>IFERROR(__xludf.DUMMYFUNCTION("TRIM(CONCAT(""[right]"", REGEXREPLACE(C200, ""([ROYGBPXZC_]|1?[0-9])"", ""[img=119]res://textures/icons/$0.png[/img]\\n"")))"),"[right][img=119]res://textures/icons/2.png[/img]\n[img=119]res://textures/icons/G.png[/img]\n")</f>
        <v>[right][img=119]res://textures/icons/2.png[/img]\n[img=119]res://textures/icons/G.png[/img]\n</v>
      </c>
      <c r="V200" s="4" t="str">
        <f>IFERROR(__xludf.DUMMYFUNCTION("SUBSTITUTE(SUBSTITUTE(SUBSTITUTE(SUBSTITUTE(REGEXREPLACE(SUBSTITUTE(SUBSTITUTE(SUBSTITUTE(SUBSTITUTE(REGEXREPLACE(I200, ""(\[([ROYGBPTQUXZC_]|1?[0-9])\])"", ""[img=45]res://textures/icons/$2.png[/img]""),""--"",""—""),""-&gt;"",""•""),""~@"", CONCATENATE(""["&amp;"i]"",REGEXEXTRACT(B200,""^([\s\S]*),|$""),""[/i]"")),""~"", CONCATENATE(""[i]"",B200,""[/i]"")),""(\([\s\S]*?\))"",""[i][color=#34343A]$0[/color][/i]""), ""&lt;"", ""[""), ""&gt;"", ""]""), ""[/p][p]"", ""[font_size=15]\n\n[/font_size]""), ""[br/]"", ""\n"")"),"[center][i][color=#34343A](This effect can only be deployed if you control a renowned asset. Banked energy can't be spent to deploy renowned cards.)[/color][/i][/center][p]Choose an asset; it permanently gets +3/+0 and [u]armor 3[/u] [i][color=#34343A](Da"&amp;"mage dealt to the specified asset by any source is reduced by 3. Whenever damage is reduced this way [i]Grant a Promotion[/i] loses that much armor.)[/color][/i][font_size=15]\n\n[/font_size][u]Personal[/u] [i][color=#34343A](Shuffle [i]'Capt. Stonewall, "&amp;"PMC Commander'[/i] into your deck.)[/color][/i][/p]")</f>
        <v xml:space="preserve">[center][i][color=#34343A](This effect can only be deployed if you control a renowned asset. Banked energy can't be spent to deploy renowned cards.)[/color][/i][/center][p]Choose an asset; it permanently gets +3/+0 and [u]armor 3[/u] [i][color=#34343A](Damage dealt to the specified asset by any source is reduced by 3. Whenever damage is reduced this way [i]Grant a Promotion[/i] loses that much armor.)[/color][/i][font_size=15]\n\n[/font_size][u]Personal[/u] [i][color=#34343A](Shuffle [i]'Capt. Stonewall, PMC Commander'[/i] into your deck.)[/color][/i][/p]</v>
      </c>
      <c r="W200" s="4" t="str">
        <f t="shared" si="12"/>
        <v xml:space="preserve">[i]R. Effect[/i]</v>
      </c>
      <c r="X200" s="4" t="str">
        <f t="shared" si="13"/>
        <v>RT_G_CMDR_2b</v>
      </c>
    </row>
    <row r="201" outlineLevel="1">
      <c r="A201" s="1" t="s">
        <v>796</v>
      </c>
      <c r="B201" s="4" t="s">
        <v>797</v>
      </c>
      <c r="C201" s="5" t="s">
        <v>692</v>
      </c>
      <c r="D201" s="6" t="str">
        <f>IFERROR(__xludf.DUMMYFUNCTION("IF(EQ(A201,B201),"""",SWITCH(IF(T201="""",0,COUNTA(SPLIT(T201,"" ""))),0,""Generic"",1,TRIM(T201),2,""Multicolor"",3,""Multicolor"",4,""Multicolor"",5,""Multicolor"",6,""Multicolor"",7,""Multicolor"",8,""Multicolor""))"),"Green")</f>
        <v>Green</v>
      </c>
      <c r="E201" s="4" t="s">
        <v>51</v>
      </c>
      <c r="F201" s="4" t="s">
        <v>26</v>
      </c>
      <c r="G201" s="4" t="s">
        <v>798</v>
      </c>
      <c r="H201" s="5" t="s">
        <v>81</v>
      </c>
      <c r="I201" s="11" t="s">
        <v>799</v>
      </c>
      <c r="J201" s="4"/>
      <c r="K201" s="8">
        <v>4</v>
      </c>
      <c r="L201" s="8">
        <v>5</v>
      </c>
      <c r="O201" s="3"/>
      <c r="Q201" s="1">
        <v>60</v>
      </c>
      <c r="R201" s="1">
        <v>40</v>
      </c>
      <c r="S201" s="4" t="str">
        <f t="shared" si="11"/>
        <v>True</v>
      </c>
      <c r="T201" s="4" t="str">
        <f>IFERROR(__xludf.DUMMYFUNCTION("CONCATENATE(if(REGEXMATCH(C201,""R""),"" Red"",""""),if(REGEXMATCH(C201,""O""),"" Orange"",""""),if(REGEXMATCH(C201,""Y""),"" Yellow"",""""),if(REGEXMATCH(C201,""G""),"" Green"",""""),if(REGEXMATCH(C201,""B""),"" Blue"",""""),if(REGEXMATCH(C201,""P""),"" "&amp;"Purple"",""""))")," Green")</f>
        <v>Green</v>
      </c>
      <c r="U201" s="4" t="str">
        <f>IFERROR(__xludf.DUMMYFUNCTION("TRIM(CONCAT(""[right]"", REGEXREPLACE(C201, ""([ROYGBPXZC_]|1?[0-9])"", ""[img=119]res://textures/icons/$0.png[/img]\\n"")))"),"[right][img=119]res://textures/icons/2.png[/img]\n[img=119]res://textures/icons/G.png[/img]\n")</f>
        <v>[right][img=119]res://textures/icons/2.png[/img]\n[img=119]res://textures/icons/G.png[/img]\n</v>
      </c>
      <c r="V201" s="4" t="str">
        <f>IFERROR(__xludf.DUMMYFUNCTION("SUBSTITUTE(SUBSTITUTE(SUBSTITUTE(SUBSTITUTE(REGEXREPLACE(SUBSTITUTE(SUBSTITUTE(SUBSTITUTE(SUBSTITUTE(REGEXREPLACE(I201, ""(\[([ROYGBPTQUXZC_]|1?[0-9])\])"", ""[img=45]res://textures/icons/$2.png[/img]""),""--"",""—""),""-&gt;"",""•""),""~@"", CONCATENATE(""["&amp;"i]"",REGEXEXTRACT(B201,""^([\s\S]*),|$""),""[/i]"")),""~"", CONCATENATE(""[i]"",B201,""[/i]"")),""(\([\s\S]*?\))"",""[i][color=#34343A]$0[/color][/i]""), ""&lt;"", ""[""), ""&gt;"", ""]""), ""[/p][p]"", ""[font_size=15]\n\n[/font_size]""), ""[br/]"", ""\n"")"),"[center][u]Sluggish[/u] [i][color=#34343A](The specified asset deals combat damage after assets without sluggish.)[/color][/i][/center][p]Whenever a combatant enters the battlefield, [i]Daring Recruit[/i] may [u]challenge[/u] [i][color=#34343A](The challe"&amp;"nged asset must intercept its challenger the next time it's challenger attacks, if able.)[/color][/i] that asset.[/p]")</f>
        <v xml:space="preserve">[center][u]Sluggish[/u] [i][color=#34343A](The specified asset deals combat damage after assets without sluggish.)[/color][/i][/center][p]Whenever a combatant enters the battlefield, [i]Daring Recruit[/i] may [u]challenge[/u] [i][color=#34343A](The challenged asset must intercept its challenger the next time it's challenger attacks, if able.)[/color][/i] that asset.[/p]</v>
      </c>
      <c r="W201" s="4" t="str">
        <f t="shared" si="12"/>
        <v>[i]Asset[/i]</v>
      </c>
      <c r="X201" s="4" t="str">
        <f t="shared" si="13"/>
        <v>RT_GR_005</v>
      </c>
    </row>
    <row r="202" outlineLevel="1">
      <c r="A202" s="1" t="s">
        <v>800</v>
      </c>
      <c r="B202" s="4" t="s">
        <v>801</v>
      </c>
      <c r="C202" s="5" t="s">
        <v>744</v>
      </c>
      <c r="D202" s="6" t="str">
        <f>IFERROR(__xludf.DUMMYFUNCTION("IF(ISBLANK(A202),"""",SWITCH(IF(T202="""",0,COUNTA(SPLIT(T202,"" ""))),0,""Generic"",1,TRIM(T202),2,""Multicolor"",3,""Multicolor"",4,""Multicolor"",5,""Multicolor"",6,""Multicolor"",7,""Multicolor"",8,""Multicolor""))"),"Green")</f>
        <v>Green</v>
      </c>
      <c r="E202" s="1" t="s">
        <v>802</v>
      </c>
      <c r="F202" s="4" t="s">
        <v>26</v>
      </c>
      <c r="G202" s="4" t="s">
        <v>803</v>
      </c>
      <c r="H202" s="5" t="s">
        <v>81</v>
      </c>
      <c r="I202" s="7" t="s">
        <v>804</v>
      </c>
      <c r="J202" s="4"/>
      <c r="K202" s="8">
        <v>1</v>
      </c>
      <c r="L202" s="8">
        <v>2</v>
      </c>
      <c r="O202" s="3"/>
      <c r="Q202" s="1">
        <v>50</v>
      </c>
      <c r="R202" s="1">
        <v>50</v>
      </c>
      <c r="S202" s="4" t="str">
        <f t="shared" si="11"/>
        <v>True</v>
      </c>
      <c r="T202" s="4" t="str">
        <f>IFERROR(__xludf.DUMMYFUNCTION("CONCATENATE(if(REGEXMATCH(C202,""R""),"" Red"",""""),if(REGEXMATCH(C202,""O""),"" Orange"",""""),if(REGEXMATCH(C202,""Y""),"" Yellow"",""""),if(REGEXMATCH(C202,""G""),"" Green"",""""),if(REGEXMATCH(C202,""B""),"" Blue"",""""),if(REGEXMATCH(C202,""P""),"" "&amp;"Purple"",""""))")," Green")</f>
        <v>Green</v>
      </c>
      <c r="U202" s="4" t="str">
        <f>IFERROR(__xludf.DUMMYFUNCTION("TRIM(CONCAT(""[right]"", REGEXREPLACE(C202, ""([ROYGBPXZC_]|1?[0-9])"", ""[img=119]res://textures/icons/$0.png[/img]\\n"")))"),"[right][img=119]res://textures/icons/1.png[/img]\n[img=119]res://textures/icons/G.png[/img]\n")</f>
        <v>[right][img=119]res://textures/icons/1.png[/img]\n[img=119]res://textures/icons/G.png[/img]\n</v>
      </c>
      <c r="V202" s="4" t="str">
        <f>IFERROR(__xludf.DUMMYFUNCTION("SUBSTITUTE(SUBSTITUTE(SUBSTITUTE(SUBSTITUTE(REGEXREPLACE(SUBSTITUTE(SUBSTITUTE(SUBSTITUTE(SUBSTITUTE(REGEXREPLACE(I202, ""(\[([ROYGBPTQUXZC_]|1?[0-9])\])"", ""[img=45]res://textures/icons/$2.png[/img]""),""--"",""—""),""-&gt;"",""•""),""~@"", CONCATENATE(""["&amp;"i]"",REGEXEXTRACT(B202,""^([\s\S]*),|$""),""[/i]"")),""~"", CONCATENATE(""[i]"",B202,""[/i]"")),""(\([\s\S]*?\))"",""[i][color=#34343A]$0[/color][/i]""), ""&lt;"", ""[""), ""&gt;"", ""]""), ""[/p][p]"", ""[font_size=15]\n\n[/font_size]""), ""[br/]"", ""\n"")"),"[center][u]Armor 2[/u] [i][color=#34343A](Damage dealt to [i]Welcoming Veteran[/i] by any source is reduced by 2. Whenever damage is reduced this way [i]Welcoming Veteran[/i] loses that much armor.)[/color][/i], [u]Formation[/u][/center][p]Whenever you hi"&amp;"re a card as a generator, add 1 energy of any type a generator you control could produce to your energy bank.[/p]")</f>
        <v xml:space="preserve">[center][u]Armor 2[/u] [i][color=#34343A](Damage dealt to [i]Welcoming Veteran[/i] by any source is reduced by 2. Whenever damage is reduced this way [i]Welcoming Veteran[/i] loses that much armor.)[/color][/i], [u]Formation[/u][/center][p]Whenever you hire a card as a generator, add 1 energy of any type a generator you control could produce to your energy bank.[/p]</v>
      </c>
      <c r="W202" s="4" t="str">
        <f t="shared" si="12"/>
        <v>[i]Asset[/i]</v>
      </c>
      <c r="X202" s="4" t="str">
        <f t="shared" si="13"/>
        <v>RT_GR_006</v>
      </c>
    </row>
    <row r="203" outlineLevel="1">
      <c r="A203" s="1" t="s">
        <v>805</v>
      </c>
      <c r="B203" s="1" t="s">
        <v>806</v>
      </c>
      <c r="C203" s="2" t="s">
        <v>807</v>
      </c>
      <c r="D203" s="6" t="str">
        <f>IFERROR(__xludf.DUMMYFUNCTION("IF(EQ(A203,B203),"""",SWITCH(IF(T203="""",0,COUNTA(SPLIT(T203,"" ""))),0,""Generic"",1,TRIM(T203),2,""Multicolor"",3,""Multicolor"",4,""Multicolor"",5,""Multicolor"",6,""Multicolor"",7,""Multicolor"",8,""Multicolor""))"),"Green")</f>
        <v>Green</v>
      </c>
      <c r="E203" s="1" t="s">
        <v>79</v>
      </c>
      <c r="F203" s="1" t="s">
        <v>26</v>
      </c>
      <c r="G203" s="1" t="s">
        <v>808</v>
      </c>
      <c r="H203" s="2" t="s">
        <v>96</v>
      </c>
      <c r="I203" s="7" t="s">
        <v>809</v>
      </c>
      <c r="J203" s="3"/>
      <c r="K203" s="1">
        <v>4</v>
      </c>
      <c r="L203" s="1">
        <v>4</v>
      </c>
      <c r="O203" s="3"/>
      <c r="Q203" s="1">
        <v>60</v>
      </c>
      <c r="R203" s="1">
        <v>50</v>
      </c>
      <c r="S203" s="4" t="str">
        <f t="shared" si="11"/>
        <v>True</v>
      </c>
      <c r="T203" s="4" t="str">
        <f>IFERROR(__xludf.DUMMYFUNCTION("CONCATENATE(if(REGEXMATCH(C203,""R""),"" Red"",""""),if(REGEXMATCH(C203,""O""),"" Orange"",""""),if(REGEXMATCH(C203,""Y""),"" Yellow"",""""),if(REGEXMATCH(C203,""G""),"" Green"",""""),if(REGEXMATCH(C203,""B""),"" Blue"",""""),if(REGEXMATCH(C203,""P""),"" "&amp;"Purple"",""""))")," Green")</f>
        <v>Green</v>
      </c>
      <c r="U203" s="4" t="str">
        <f>IFERROR(__xludf.DUMMYFUNCTION("TRIM(CONCAT(""[right]"", REGEXREPLACE(C203, ""([ROYGBPXZC_]|1?[0-9])"", ""[img=119]res://textures/icons/$0.png[/img]\\n"")))"),"[right][img=119]res://textures/icons/4.png[/img]\n[img=119]res://textures/icons/G.png[/img]\n[img=119]res://textures/icons/G.png[/img]\n[img=119]res://textures/icons/G.png[/img]\n[img=119]res://textures/icons/G.png[/img]\n")</f>
        <v>[right][img=119]res://textures/icons/4.png[/img]\n[img=119]res://textures/icons/G.png[/img]\n[img=119]res://textures/icons/G.png[/img]\n[img=119]res://textures/icons/G.png[/img]\n[img=119]res://textures/icons/G.png[/img]\n</v>
      </c>
      <c r="V203" s="4" t="str">
        <f>IFERROR(__xludf.DUMMYFUNCTION("SUBSTITUTE(SUBSTITUTE(SUBSTITUTE(SUBSTITUTE(REGEXREPLACE(SUBSTITUTE(SUBSTITUTE(SUBSTITUTE(SUBSTITUTE(REGEXREPLACE(I203, ""(\[([ROYGBPTQUXZC_]|1?[0-9])\])"", ""[img=45]res://textures/icons/$2.png[/img]""),""--"",""—""),""-&gt;"",""•""),""~@"", CONCATENATE(""["&amp;"i]"",REGEXEXTRACT(B203,""^([\s\S]*),|$""),""[/i]"")),""~"", CONCATENATE(""[i]"",B203,""[/i]"")),""(\([\s\S]*?\))"",""[i][color=#34343A]$0[/color][/i]""), ""&lt;"", ""[""), ""&gt;"", ""]""), ""[/p][p]"", ""[font_size=15]\n\n[/font_size]""), ""[br/]"", ""\n"")"),"[center][u]Armor 16[/u] [i][color=#34343A](Damage dealt to [i]Aircraft Carrier[/i] by any source is reduced by 16. Whenever damage is reduced this way [i]Aircraft Carrier[/i] loses that much armor.)[/color][/i][/center][p]Each time [i]Aircraft Carrier[/i]"&amp;" has attacked twice, create a [u]transient[/u] [i][color=#34343A](If it would enter a discard, instead remove it from the game.)[/color][/i] [i]'Fighter Jet'[/i] on the battlefield.[/p]")</f>
        <v xml:space="preserve">[center][u]Armor 16[/u] [i][color=#34343A](Damage dealt to [i]Aircraft Carrier[/i] by any source is reduced by 16. Whenever damage is reduced this way [i]Aircraft Carrier[/i] loses that much armor.)[/color][/i][/center][p]Each time [i]Aircraft Carrier[/i] has attacked twice, create a [u]transient[/u] [i][color=#34343A](If it would enter a discard, instead remove it from the game.)[/color][/i] [i]'Fighter Jet'[/i] on the battlefield.[/p]</v>
      </c>
      <c r="W203" s="4" t="str">
        <f t="shared" si="12"/>
        <v>[i]Asset[/i]</v>
      </c>
      <c r="X203" s="4" t="str">
        <f t="shared" si="13"/>
        <v>RT_GR_007</v>
      </c>
    </row>
    <row r="204" outlineLevel="1">
      <c r="A204" s="1" t="s">
        <v>810</v>
      </c>
      <c r="B204" s="1" t="str">
        <f t="shared" si="14"/>
        <v>GR_008</v>
      </c>
      <c r="C204" s="2"/>
      <c r="D204" s="6" t="str">
        <f>IFERROR(__xludf.DUMMYFUNCTION("IF(EQ(A204,B204),"""",SWITCH(IF(T204="""",0,COUNTA(SPLIT(T204,"" ""))),0,""Generic"",1,TRIM(T204),2,""Multicolor"",3,""Multicolor"",4,""Multicolor"",5,""Multicolor"",6,""Multicolor"",7,""Multicolor"",8,""Multicolor""))"),"")</f>
        <v/>
      </c>
      <c r="E204" s="1"/>
      <c r="F204" s="1"/>
      <c r="H204" s="2"/>
      <c r="I204" s="3"/>
      <c r="J204" s="3"/>
      <c r="O204" s="3"/>
      <c r="Q204" s="1">
        <v>60</v>
      </c>
      <c r="R204" s="1">
        <v>50</v>
      </c>
      <c r="S204" s="4" t="str">
        <f t="shared" si="11"/>
        <v>False</v>
      </c>
      <c r="T204" s="4" t="str">
        <f>IFERROR(__xludf.DUMMYFUNCTION("CONCATENATE(if(REGEXMATCH(C204,""R""),"" Red"",""""),if(REGEXMATCH(C204,""O""),"" Orange"",""""),if(REGEXMATCH(C204,""Y""),"" Yellow"",""""),if(REGEXMATCH(C204,""G""),"" Green"",""""),if(REGEXMATCH(C204,""B""),"" Blue"",""""),if(REGEXMATCH(C204,""P""),"" "&amp;"Purple"",""""))"),"")</f>
        <v/>
      </c>
      <c r="U204" s="4" t="str">
        <f>IFERROR(__xludf.DUMMYFUNCTION("TRIM(CONCAT(""[right]"", REGEXREPLACE(C204, ""([ROYGBPXZC_]|1?[0-9])"", ""[img=119]res://textures/icons/$0.png[/img]\\n"")))"),"[right]")</f>
        <v>[right]</v>
      </c>
      <c r="V204" s="4" t="str">
        <f>IFERROR(__xludf.DUMMYFUNCTION("SUBSTITUTE(SUBSTITUTE(SUBSTITUTE(SUBSTITUTE(REGEXREPLACE(SUBSTITUTE(SUBSTITUTE(SUBSTITUTE(SUBSTITUTE(REGEXREPLACE(I204, ""(\[([ROYGBPTQUXZC_]|1?[0-9])\])"", ""[img=45]res://textures/icons/$2.png[/img]""),""--"",""—""),""-&gt;"",""•""),""~@"", CONCATENATE(""["&amp;"i]"",REGEXEXTRACT(B204,""^([\s\S]*),|$""),""[/i]"")),""~"", CONCATENATE(""[i]"",B204,""[/i]"")),""(\([\s\S]*?\))"",""[i][color=#34343A]$0[/color][/i]""), ""&lt;"", ""[""), ""&gt;"", ""]""), ""[/p][p]"", ""[font_size=15]\n\n[/font_size]""), ""[br/]"", ""\n"")"),"")</f>
        <v/>
      </c>
      <c r="W204" s="4" t="str">
        <f t="shared" si="12"/>
        <v>[i][/i]</v>
      </c>
      <c r="X204" s="4" t="str">
        <f t="shared" si="13"/>
        <v>0</v>
      </c>
    </row>
    <row r="205" outlineLevel="1">
      <c r="A205" s="1" t="s">
        <v>811</v>
      </c>
      <c r="B205" s="1" t="s">
        <v>812</v>
      </c>
      <c r="C205" s="2" t="s">
        <v>744</v>
      </c>
      <c r="D205" s="6" t="str">
        <f>IFERROR(__xludf.DUMMYFUNCTION("IF(EQ(A205,B205),"""",SWITCH(IF(T205="""",0,COUNTA(SPLIT(T205,"" ""))),0,""Generic"",1,TRIM(T205),2,""Multicolor"",3,""Multicolor"",4,""Multicolor"",5,""Multicolor"",6,""Multicolor"",7,""Multicolor"",8,""Multicolor""))"),"Green")</f>
        <v>Green</v>
      </c>
      <c r="E205" s="1"/>
      <c r="F205" s="1" t="s">
        <v>33</v>
      </c>
      <c r="G205" s="1" t="s">
        <v>813</v>
      </c>
      <c r="H205" s="2" t="s">
        <v>129</v>
      </c>
      <c r="I205" s="3" t="s">
        <v>814</v>
      </c>
      <c r="J205" s="3"/>
      <c r="O205" s="3"/>
      <c r="Q205" s="1">
        <v>40</v>
      </c>
      <c r="R205" s="1">
        <v>40</v>
      </c>
      <c r="S205" s="4" t="str">
        <f t="shared" si="11"/>
        <v>False</v>
      </c>
      <c r="T205" s="4" t="str">
        <f>IFERROR(__xludf.DUMMYFUNCTION("CONCATENATE(if(REGEXMATCH(C205,""R""),"" Red"",""""),if(REGEXMATCH(C205,""O""),"" Orange"",""""),if(REGEXMATCH(C205,""Y""),"" Yellow"",""""),if(REGEXMATCH(C205,""G""),"" Green"",""""),if(REGEXMATCH(C205,""B""),"" Blue"",""""),if(REGEXMATCH(C205,""P""),"" "&amp;"Purple"",""""))")," Green")</f>
        <v>Green</v>
      </c>
      <c r="U205" s="4" t="str">
        <f>IFERROR(__xludf.DUMMYFUNCTION("TRIM(CONCAT(""[right]"", REGEXREPLACE(C205, ""([ROYGBPXZC_]|1?[0-9])"", ""[img=119]res://textures/icons/$0.png[/img]\\n"")))"),"[right][img=119]res://textures/icons/1.png[/img]\n[img=119]res://textures/icons/G.png[/img]\n")</f>
        <v>[right][img=119]res://textures/icons/1.png[/img]\n[img=119]res://textures/icons/G.png[/img]\n</v>
      </c>
      <c r="V205" s="4" t="str">
        <f>IFERROR(__xludf.DUMMYFUNCTION("SUBSTITUTE(SUBSTITUTE(SUBSTITUTE(SUBSTITUTE(REGEXREPLACE(SUBSTITUTE(SUBSTITUTE(SUBSTITUTE(SUBSTITUTE(REGEXREPLACE(I205, ""(\[([ROYGBPTQUXZC_]|1?[0-9])\])"", ""[img=45]res://textures/icons/$2.png[/img]""),""--"",""—""),""-&gt;"",""•""),""~@"", CONCATENATE(""["&amp;"i]"",REGEXEXTRACT(B205,""^([\s\S]*),|$""),""[/i]"")),""~"", CONCATENATE(""[i]"",B205,""[/i]"")),""(\([\s\S]*?\))"",""[i][color=#34343A]$0[/color][/i]""), ""&lt;"", ""[""), ""&gt;"", ""]""), ""[/p][p]"", ""[font_size=15]\n\n[/font_size]""), ""[br/]"", ""\n"")"),"Choose an asset; it permanently gets +2/+0 and [u]armor 2[/u] [i][color=#34343A](Damage dealt to the chosen asset by any source is reduced by 2. Whenever damage is reduced this way [i]Battlefield Promotion[/i] loses that much armor.)[/color][/i]")</f>
        <v xml:space="preserve">Choose an asset; it permanently gets +2/+0 and [u]armor 2[/u] [i][color=#34343A](Damage dealt to the chosen asset by any source is reduced by 2. Whenever damage is reduced this way [i]Battlefield Promotion[/i] loses that much armor.)[/color][/i]</v>
      </c>
      <c r="W205" s="4" t="str">
        <f t="shared" si="12"/>
        <v>[i]Effect[/i]</v>
      </c>
      <c r="X205" s="4" t="str">
        <f t="shared" si="13"/>
        <v>RT_GU_009</v>
      </c>
    </row>
    <row r="206" outlineLevel="1">
      <c r="A206" s="1" t="s">
        <v>815</v>
      </c>
      <c r="B206" s="1" t="s">
        <v>816</v>
      </c>
      <c r="C206" s="2" t="s">
        <v>692</v>
      </c>
      <c r="D206" s="6" t="str">
        <f>IFERROR(__xludf.DUMMYFUNCTION("IF(EQ(A206,B206),"""",SWITCH(IF(T206="""",0,COUNTA(SPLIT(T206,"" ""))),0,""Generic"",1,TRIM(T206),2,""Multicolor"",3,""Multicolor"",4,""Multicolor"",5,""Multicolor"",6,""Multicolor"",7,""Multicolor"",8,""Multicolor""))"),"Green")</f>
        <v>Green</v>
      </c>
      <c r="E206" s="1"/>
      <c r="F206" s="1" t="s">
        <v>33</v>
      </c>
      <c r="H206" s="2" t="s">
        <v>119</v>
      </c>
      <c r="I206" s="3" t="s">
        <v>817</v>
      </c>
      <c r="J206" s="3"/>
      <c r="O206" s="3"/>
      <c r="Q206" s="1">
        <v>45</v>
      </c>
      <c r="R206" s="1">
        <v>50</v>
      </c>
      <c r="S206" s="4" t="str">
        <f t="shared" si="11"/>
        <v>False</v>
      </c>
      <c r="T206" s="4" t="str">
        <f>IFERROR(__xludf.DUMMYFUNCTION("CONCATENATE(if(REGEXMATCH(C206,""R""),"" Red"",""""),if(REGEXMATCH(C206,""O""),"" Orange"",""""),if(REGEXMATCH(C206,""Y""),"" Yellow"",""""),if(REGEXMATCH(C206,""G""),"" Green"",""""),if(REGEXMATCH(C206,""B""),"" Blue"",""""),if(REGEXMATCH(C206,""P""),"" "&amp;"Purple"",""""))")," Green")</f>
        <v>Green</v>
      </c>
      <c r="U206" s="4" t="str">
        <f>IFERROR(__xludf.DUMMYFUNCTION("TRIM(CONCAT(""[right]"", REGEXREPLACE(C206, ""([ROYGBPXZC_]|1?[0-9])"", ""[img=119]res://textures/icons/$0.png[/img]\\n"")))"),"[right][img=119]res://textures/icons/2.png[/img]\n[img=119]res://textures/icons/G.png[/img]\n")</f>
        <v>[right][img=119]res://textures/icons/2.png[/img]\n[img=119]res://textures/icons/G.png[/img]\n</v>
      </c>
      <c r="V206" s="4" t="str">
        <f>IFERROR(__xludf.DUMMYFUNCTION("SUBSTITUTE(SUBSTITUTE(SUBSTITUTE(SUBSTITUTE(REGEXREPLACE(SUBSTITUTE(SUBSTITUTE(SUBSTITUTE(SUBSTITUTE(REGEXREPLACE(I206, ""(\[([ROYGBPTQUXZC_]|1?[0-9])\])"", ""[img=45]res://textures/icons/$2.png[/img]""),""--"",""—""),""-&gt;"",""•""),""~@"", CONCATENATE(""["&amp;"i]"",REGEXEXTRACT(B206,""^([\s\S]*),|$""),""[/i]"")),""~"", CONCATENATE(""[i]"",B206,""[/i]"")),""(\([\s\S]*?\))"",""[i][color=#34343A]$0[/color][/i]""), ""&lt;"", ""[""), ""&gt;"", ""]""), ""[/p][p]"", ""[font_size=15]\n\n[/font_size]""), ""[br/]"", ""\n"")"),"[p]Choose an asset; its armor is repaired to its original maximum and then doubled.[/p]")</f>
        <v xml:space="preserve">[p]Choose an asset; its armor is repaired to its original maximum and then doubled.[/p]</v>
      </c>
      <c r="W206" s="4" t="str">
        <f t="shared" si="12"/>
        <v>[i]Effect[/i]</v>
      </c>
      <c r="X206" s="4" t="str">
        <f t="shared" si="13"/>
        <v>RT_GU_010</v>
      </c>
    </row>
    <row r="207" outlineLevel="1">
      <c r="A207" s="1" t="s">
        <v>818</v>
      </c>
      <c r="B207" s="1" t="s">
        <v>819</v>
      </c>
      <c r="C207" s="2" t="s">
        <v>744</v>
      </c>
      <c r="D207" s="6" t="str">
        <f>IFERROR(__xludf.DUMMYFUNCTION("IF(EQ(A207,B207),"""",SWITCH(IF(T207="""",0,COUNTA(SPLIT(T207,"" ""))),0,""Generic"",1,TRIM(T207),2,""Multicolor"",3,""Multicolor"",4,""Multicolor"",5,""Multicolor"",6,""Multicolor"",7,""Multicolor"",8,""Multicolor""))"),"Green")</f>
        <v>Green</v>
      </c>
      <c r="E207" s="1"/>
      <c r="F207" s="1" t="s">
        <v>33</v>
      </c>
      <c r="G207" s="13" t="s">
        <v>820</v>
      </c>
      <c r="H207" s="2" t="s">
        <v>129</v>
      </c>
      <c r="I207" s="3" t="s">
        <v>821</v>
      </c>
      <c r="J207" s="3"/>
      <c r="O207" s="3"/>
      <c r="Q207" s="1">
        <v>50</v>
      </c>
      <c r="R207" s="1">
        <v>50</v>
      </c>
      <c r="S207" s="4" t="str">
        <f t="shared" si="11"/>
        <v>False</v>
      </c>
      <c r="T207" s="4" t="str">
        <f>IFERROR(__xludf.DUMMYFUNCTION("CONCATENATE(if(REGEXMATCH(C207,""R""),"" Red"",""""),if(REGEXMATCH(C207,""O""),"" Orange"",""""),if(REGEXMATCH(C207,""Y""),"" Yellow"",""""),if(REGEXMATCH(C207,""G""),"" Green"",""""),if(REGEXMATCH(C207,""B""),"" Blue"",""""),if(REGEXMATCH(C207,""P""),"" "&amp;"Purple"",""""))")," Green")</f>
        <v>Green</v>
      </c>
      <c r="U207" s="4" t="str">
        <f>IFERROR(__xludf.DUMMYFUNCTION("TRIM(CONCAT(""[right]"", REGEXREPLACE(C207, ""([ROYGBPXZC_]|1?[0-9])"", ""[img=119]res://textures/icons/$0.png[/img]\\n"")))"),"[right][img=119]res://textures/icons/1.png[/img]\n[img=119]res://textures/icons/G.png[/img]\n")</f>
        <v>[right][img=119]res://textures/icons/1.png[/img]\n[img=119]res://textures/icons/G.png[/img]\n</v>
      </c>
      <c r="V207" s="4" t="str">
        <f>IFERROR(__xludf.DUMMYFUNCTION("SUBSTITUTE(SUBSTITUTE(SUBSTITUTE(SUBSTITUTE(REGEXREPLACE(SUBSTITUTE(SUBSTITUTE(SUBSTITUTE(SUBSTITUTE(REGEXREPLACE(I207, ""(\[([ROYGBPTQUXZC_]|1?[0-9])\])"", ""[img=45]res://textures/icons/$2.png[/img]""),""--"",""—""),""-&gt;"",""•""),""~@"", CONCATENATE(""["&amp;"i]"",REGEXEXTRACT(B207,""^([\s\S]*),|$""),""[/i]"")),""~"", CONCATENATE(""[i]"",B207,""[/i]"")),""(\([\s\S]*?\))"",""[i][color=#34343A]$0[/color][/i]""), ""&lt;"", ""[""), ""&gt;"", ""]""), ""[/p][p]"", ""[font_size=15]\n\n[/font_size]""), ""[br/]"", ""\n"")"),"Choose a combatant you control; it [u]challenges[/u] [i][color=#34343A](The challenged asset must intercept its challenger the next time it's challenger attacks, if able.)[/color][/i] an asset of your choice you don't control.")</f>
        <v xml:space="preserve">Choose a combatant you control; it [u]challenges[/u] [i][color=#34343A](The challenged asset must intercept its challenger the next time it's challenger attacks, if able.)[/color][/i] an asset of your choice you don't control.</v>
      </c>
      <c r="W207" s="4" t="str">
        <f t="shared" si="12"/>
        <v>[i]Effect[/i]</v>
      </c>
      <c r="X207" s="4" t="str">
        <f t="shared" si="13"/>
        <v>RT_GU_011</v>
      </c>
    </row>
    <row r="208" outlineLevel="1">
      <c r="A208" s="1" t="s">
        <v>822</v>
      </c>
      <c r="B208" s="4" t="s">
        <v>823</v>
      </c>
      <c r="C208" s="5" t="s">
        <v>824</v>
      </c>
      <c r="D208" s="6" t="str">
        <f>IFERROR(__xludf.DUMMYFUNCTION("IF(ISBLANK(A208),"""",SWITCH(IF(T208="""",0,COUNTA(SPLIT(T208,"" ""))),0,""Generic"",1,TRIM(T208),2,""Multicolor"",3,""Multicolor"",4,""Multicolor"",5,""Multicolor"",6,""Multicolor"",7,""Multicolor"",8,""Multicolor""))"),"Green")</f>
        <v>Green</v>
      </c>
      <c r="E208" s="4"/>
      <c r="F208" s="4" t="s">
        <v>87</v>
      </c>
      <c r="G208" s="4" t="s">
        <v>232</v>
      </c>
      <c r="H208" s="5" t="s">
        <v>129</v>
      </c>
      <c r="I208" s="3" t="s">
        <v>825</v>
      </c>
      <c r="J208" s="3"/>
      <c r="O208" s="3"/>
      <c r="Q208" s="1">
        <v>45</v>
      </c>
      <c r="R208" s="1">
        <v>50</v>
      </c>
      <c r="S208" s="4" t="str">
        <f t="shared" si="11"/>
        <v>False</v>
      </c>
      <c r="T208" s="4" t="str">
        <f>IFERROR(__xludf.DUMMYFUNCTION("CONCATENATE(if(REGEXMATCH(C208,""R""),"" Red"",""""),if(REGEXMATCH(C208,""O""),"" Orange"",""""),if(REGEXMATCH(C208,""Y""),"" Yellow"",""""),if(REGEXMATCH(C208,""G""),"" Green"",""""),if(REGEXMATCH(C208,""B""),"" Blue"",""""),if(REGEXMATCH(C208,""P""),"" "&amp;"Purple"",""""))")," Green")</f>
        <v>Green</v>
      </c>
      <c r="U208" s="4" t="str">
        <f>IFERROR(__xludf.DUMMYFUNCTION("TRIM(CONCAT(""[right]"", REGEXREPLACE(C208, ""([ROYGBPXZC_]|1?[0-9])"", ""[img=119]res://textures/icons/$0.png[/img]\\n"")))"),"[right][img=119]res://textures/icons/X.png[/img]\n[img=119]res://textures/icons/X.png[/img]\n[img=119]res://textures/icons/G.png[/img]\n")</f>
        <v>[right][img=119]res://textures/icons/X.png[/img]\n[img=119]res://textures/icons/X.png[/img]\n[img=119]res://textures/icons/G.png[/img]\n</v>
      </c>
      <c r="V208" s="4" t="str">
        <f>IFERROR(__xludf.DUMMYFUNCTION("SUBSTITUTE(SUBSTITUTE(SUBSTITUTE(SUBSTITUTE(REGEXREPLACE(SUBSTITUTE(SUBSTITUTE(SUBSTITUTE(SUBSTITUTE(REGEXREPLACE(I208, ""(\[([ROYGBPTQUXZC_]|1?[0-9])\])"", ""[img=45]res://textures/icons/$2.png[/img]""),""--"",""—""),""-&gt;"",""•""),""~@"", CONCATENATE(""["&amp;"i]"",REGEXEXTRACT(B208,""^([\s\S]*),|$""),""[/i]"")),""~"", CONCATENATE(""[i]"",B208,""[/i]"")),""(\([\s\S]*?\))"",""[i][color=#34343A]$0[/color][/i]""), ""&lt;"", ""[""), ""&gt;"", ""]""), ""[/p][p]"", ""[font_size=15]\n\n[/font_size]""), ""[br/]"", ""\n"")"),"[p]If an opponent deployed a non-combatant card this turn, [i]Hunker Down and Wait for Reinforcements[/i] costs [img=45]res://textures/icons/4.png[/img] less.[font_size=15]\n\n[/font_size]Combatants you control gain [u]armor [img=45]res://textures/icons/X"&amp;".png[/img][/u] [i][color=#34343A](Damage dealt to them by any source is reduced by X. Whenever damage is reduced this way [i]Hunker Down and Wait for Reinforcements[/i] loses that much armor.)[/color][/i] If [img=45]res://textures/icons/X.png[/img] is [im"&amp;"g=45]res://textures/icons/4.png[/img] or more you may put an asset from your hand onto the battlefield and refill the ammo of all of your guns.[/p]")</f>
        <v xml:space="preserve">[p]If an opponent deployed a non-combatant card this turn, [i]Hunker Down and Wait for Reinforcements[/i] costs [img=45]res://textures/icons/4.png[/img] less.[font_size=15]\n\n[/font_size]Combatants you control gain [u]armor [img=45]res://textures/icons/X.png[/img][/u] [i][color=#34343A](Damage dealt to them by any source is reduced by X. Whenever damage is reduced this way [i]Hunker Down and Wait for Reinforcements[/i] loses that much armor.)[/color][/i] If [img=45]res://textures/icons/X.png[/img] is [img=45]res://textures/icons/4.png[/img] or more you may put an asset from your hand onto the battlefield and refill the ammo of all of your guns.[/p]</v>
      </c>
      <c r="W208" s="4" t="str">
        <f t="shared" si="12"/>
        <v xml:space="preserve">[i]R. Effect[/i]</v>
      </c>
      <c r="X208" s="4" t="str">
        <f t="shared" si="13"/>
        <v>RT_GU_012</v>
      </c>
    </row>
    <row r="209" outlineLevel="1">
      <c r="A209" s="1" t="s">
        <v>826</v>
      </c>
      <c r="B209" s="4" t="s">
        <v>827</v>
      </c>
      <c r="C209" s="5" t="s">
        <v>687</v>
      </c>
      <c r="D209" s="6" t="str">
        <f>IFERROR(__xludf.DUMMYFUNCTION("IF(ISBLANK(A209),"""",SWITCH(IF(T209="""",0,COUNTA(SPLIT(T209,"" ""))),0,""Generic"",1,TRIM(T209),2,""Multicolor"",3,""Multicolor"",4,""Multicolor"",5,""Multicolor"",6,""Multicolor"",7,""Multicolor"",8,""Multicolor""))"),"Green")</f>
        <v>Green</v>
      </c>
      <c r="E209" s="1" t="s">
        <v>802</v>
      </c>
      <c r="F209" s="4" t="s">
        <v>26</v>
      </c>
      <c r="G209" s="4" t="s">
        <v>828</v>
      </c>
      <c r="H209" s="5" t="s">
        <v>129</v>
      </c>
      <c r="I209" s="7" t="s">
        <v>829</v>
      </c>
      <c r="J209" s="7" t="s">
        <v>830</v>
      </c>
      <c r="K209" s="8" t="s">
        <v>629</v>
      </c>
      <c r="L209" s="8">
        <v>8</v>
      </c>
      <c r="O209" s="3"/>
      <c r="Q209" s="1">
        <v>60</v>
      </c>
      <c r="R209" s="1">
        <v>50</v>
      </c>
      <c r="S209" s="4" t="str">
        <f t="shared" si="11"/>
        <v>True</v>
      </c>
      <c r="T209" s="4" t="str">
        <f>IFERROR(__xludf.DUMMYFUNCTION("CONCATENATE(if(REGEXMATCH(C209,""R""),"" Red"",""""),if(REGEXMATCH(C209,""O""),"" Orange"",""""),if(REGEXMATCH(C209,""Y""),"" Yellow"",""""),if(REGEXMATCH(C209,""G""),"" Green"",""""),if(REGEXMATCH(C209,""B""),"" Blue"",""""),if(REGEXMATCH(C209,""P""),"" "&amp;"Purple"",""""))")," Green")</f>
        <v>Green</v>
      </c>
      <c r="U209" s="4" t="str">
        <f>IFERROR(__xludf.DUMMYFUNCTION("TRIM(CONCAT(""[right]"", REGEXREPLACE(C209, ""([ROYGBPXZC_]|1?[0-9])"", ""[img=119]res://textures/icons/$0.png[/img]\\n"")))"),"[right][img=119]res://textures/icons/3.png[/img]\n[img=119]res://textures/icons/G.png[/img]\n[img=119]res://textures/icons/G.png[/img]\n")</f>
        <v>[right][img=119]res://textures/icons/3.png[/img]\n[img=119]res://textures/icons/G.png[/img]\n[img=119]res://textures/icons/G.png[/img]\n</v>
      </c>
      <c r="V209" s="4" t="str">
        <f>IFERROR(__xludf.DUMMYFUNCTION("SUBSTITUTE(SUBSTITUTE(SUBSTITUTE(SUBSTITUTE(REGEXREPLACE(SUBSTITUTE(SUBSTITUTE(SUBSTITUTE(SUBSTITUTE(REGEXREPLACE(I209, ""(\[([ROYGBPTQUXZC_]|1?[0-9])\])"", ""[img=45]res://textures/icons/$2.png[/img]""),""--"",""—""),""-&gt;"",""•""),""~@"", CONCATENATE(""["&amp;"i]"",REGEXEXTRACT(B209,""^([\s\S]*),|$""),""[/i]"")),""~"", CONCATENATE(""[i]"",B209,""[/i]"")),""(\([\s\S]*?\))"",""[i][color=#34343A]$0[/color][/i]""), ""&lt;"", ""[""), ""&gt;"", ""]""), ""[/p][p]"", ""[font_size=15]\n\n[/font_size]""), ""[br/]"", ""\n"")"),"[center][u]Armor 5[/u], [u]Formation - Attack Front 5, Back 7[/u] [i][color=#34343A](Cards with Formation have their ranged status determined by their place in their formation; a formation consists of a mandatory melee card at the front and up to 2 ranged"&amp;" cards at the back. The attack power of the formation is the sum of all combatants in the formation. Combat damage is dealt to the front combatant before the back combatants. Formations can only be formed anytime you could reorganize units.)[/color][/i] ["&amp;"u]Vehicle[/u][/center]")</f>
        <v xml:space="preserve">[center][u]Armor 5[/u], [u]Formation - Attack Front 5, Back 7[/u] [i][color=#34343A](Cards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units.)[/color][/i] [u]Vehicle[/u][/center]</v>
      </c>
      <c r="W209" s="4" t="str">
        <f t="shared" si="12"/>
        <v>[i]Asset[/i]</v>
      </c>
      <c r="X209" s="4" t="str">
        <f t="shared" si="13"/>
        <v>RT_GU_013</v>
      </c>
    </row>
    <row r="210" outlineLevel="1">
      <c r="A210" s="1" t="s">
        <v>831</v>
      </c>
      <c r="B210" s="1" t="s">
        <v>832</v>
      </c>
      <c r="C210" s="2" t="s">
        <v>692</v>
      </c>
      <c r="D210" s="6" t="str">
        <f>IFERROR(__xludf.DUMMYFUNCTION("IF(EQ(A210,B210),"""",SWITCH(IF(T210="""",0,COUNTA(SPLIT(T210,"" ""))),0,""Generic"",1,TRIM(T210),2,""Multicolor"",3,""Multicolor"",4,""Multicolor"",5,""Multicolor"",6,""Multicolor"",7,""Multicolor"",8,""Multicolor""))"),"Green")</f>
        <v>Green</v>
      </c>
      <c r="E210" s="1" t="s">
        <v>802</v>
      </c>
      <c r="F210" s="1" t="s">
        <v>26</v>
      </c>
      <c r="G210" s="1" t="s">
        <v>803</v>
      </c>
      <c r="H210" s="2" t="s">
        <v>129</v>
      </c>
      <c r="I210" s="10" t="s">
        <v>833</v>
      </c>
      <c r="J210" s="3"/>
      <c r="K210" s="1" t="s">
        <v>629</v>
      </c>
      <c r="L210" s="1">
        <v>6</v>
      </c>
      <c r="O210" s="3"/>
      <c r="Q210" s="1">
        <v>50</v>
      </c>
      <c r="R210" s="1">
        <v>50</v>
      </c>
      <c r="S210" s="4" t="str">
        <f t="shared" si="11"/>
        <v>True</v>
      </c>
      <c r="T210" s="4" t="str">
        <f>IFERROR(__xludf.DUMMYFUNCTION("CONCATENATE(if(REGEXMATCH(C210,""R""),"" Red"",""""),if(REGEXMATCH(C210,""O""),"" Orange"",""""),if(REGEXMATCH(C210,""Y""),"" Yellow"",""""),if(REGEXMATCH(C210,""G""),"" Green"",""""),if(REGEXMATCH(C210,""B""),"" Blue"",""""),if(REGEXMATCH(C210,""P""),"" "&amp;"Purple"",""""))")," Green")</f>
        <v>Green</v>
      </c>
      <c r="U210" s="4" t="str">
        <f>IFERROR(__xludf.DUMMYFUNCTION("TRIM(CONCAT(""[right]"", REGEXREPLACE(C210, ""([ROYGBPXZC_]|1?[0-9])"", ""[img=119]res://textures/icons/$0.png[/img]\\n"")))"),"[right][img=119]res://textures/icons/2.png[/img]\n[img=119]res://textures/icons/G.png[/img]\n")</f>
        <v>[right][img=119]res://textures/icons/2.png[/img]\n[img=119]res://textures/icons/G.png[/img]\n</v>
      </c>
      <c r="V210" s="4" t="str">
        <f>IFERROR(__xludf.DUMMYFUNCTION("SUBSTITUTE(SUBSTITUTE(SUBSTITUTE(SUBSTITUTE(REGEXREPLACE(SUBSTITUTE(SUBSTITUTE(SUBSTITUTE(SUBSTITUTE(REGEXREPLACE(I210, ""(\[([ROYGBPTQUXZC_]|1?[0-9])\])"", ""[img=45]res://textures/icons/$2.png[/img]""),""--"",""—""),""-&gt;"",""•""),""~@"", CONCATENATE(""["&amp;"i]"",REGEXEXTRACT(B210,""^([\s\S]*),|$""),""[/i]"")),""~"", CONCATENATE(""[i]"",B210,""[/i]"")),""(\([\s\S]*?\))"",""[i][color=#34343A]$0[/color][/i]""), ""&lt;"", ""[""), ""&gt;"", ""]""), ""[/p][p]"", ""[font_size=15]\n\n[/font_size]""), ""[br/]"", ""\n"")"),"[center][u]Formation - Attack Front 3, Back 2[/u] [i][color=#34343A](Cards with Formation have their ranged status determined by their place in their formation; a formation consists of a mandatory melee card at the front and up to 2 ranged cards at the ba"&amp;"ck. The attack power of the formation is the sum of all combatants in the formation. Combat damage is dealt to the front combatant before the back combatants. Formations can only be formed anytime you could reorganize units.)[/color][/i][/center]")</f>
        <v xml:space="preserve">[center][u]Formation - Attack Front 3, Back 2[/u] [i][color=#34343A](Cards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units.)[/color][/i][/center]</v>
      </c>
      <c r="W210" s="4" t="str">
        <f t="shared" si="12"/>
        <v>[i]Asset[/i]</v>
      </c>
      <c r="X210" s="4" t="str">
        <f t="shared" si="13"/>
        <v>RT_GU_014</v>
      </c>
    </row>
    <row r="211" outlineLevel="1">
      <c r="A211" s="1" t="s">
        <v>834</v>
      </c>
      <c r="B211" s="1" t="s">
        <v>835</v>
      </c>
      <c r="C211" s="2" t="s">
        <v>744</v>
      </c>
      <c r="D211" s="6" t="str">
        <f>IFERROR(__xludf.DUMMYFUNCTION("IF(EQ(A211,B211),"""",SWITCH(IF(T211="""",0,COUNTA(SPLIT(T211,"" ""))),0,""Generic"",1,TRIM(T211),2,""Multicolor"",3,""Multicolor"",4,""Multicolor"",5,""Multicolor"",6,""Multicolor"",7,""Multicolor"",8,""Multicolor""))"),"Green")</f>
        <v>Green</v>
      </c>
      <c r="E211" s="1"/>
      <c r="F211" s="1" t="s">
        <v>33</v>
      </c>
      <c r="H211" s="2" t="s">
        <v>129</v>
      </c>
      <c r="I211" s="3" t="s">
        <v>836</v>
      </c>
      <c r="J211" s="3"/>
      <c r="O211" s="3"/>
      <c r="Q211" s="1">
        <v>45</v>
      </c>
      <c r="R211" s="1">
        <v>50</v>
      </c>
      <c r="S211" s="4" t="str">
        <f t="shared" si="11"/>
        <v>False</v>
      </c>
      <c r="T211" s="4" t="str">
        <f>IFERROR(__xludf.DUMMYFUNCTION("CONCATENATE(if(REGEXMATCH(C211,""R""),"" Red"",""""),if(REGEXMATCH(C211,""O""),"" Orange"",""""),if(REGEXMATCH(C211,""Y""),"" Yellow"",""""),if(REGEXMATCH(C211,""G""),"" Green"",""""),if(REGEXMATCH(C211,""B""),"" Blue"",""""),if(REGEXMATCH(C211,""P""),"" "&amp;"Purple"",""""))")," Green")</f>
        <v>Green</v>
      </c>
      <c r="U211" s="4" t="str">
        <f>IFERROR(__xludf.DUMMYFUNCTION("TRIM(CONCAT(""[right]"", REGEXREPLACE(C211, ""([ROYGBPXZC_]|1?[0-9])"", ""[img=119]res://textures/icons/$0.png[/img]\\n"")))"),"[right][img=119]res://textures/icons/1.png[/img]\n[img=119]res://textures/icons/G.png[/img]\n")</f>
        <v>[right][img=119]res://textures/icons/1.png[/img]\n[img=119]res://textures/icons/G.png[/img]\n</v>
      </c>
      <c r="V211" s="4" t="str">
        <f>IFERROR(__xludf.DUMMYFUNCTION("SUBSTITUTE(SUBSTITUTE(SUBSTITUTE(SUBSTITUTE(REGEXREPLACE(SUBSTITUTE(SUBSTITUTE(SUBSTITUTE(SUBSTITUTE(REGEXREPLACE(I211, ""(\[([ROYGBPTQUXZC_]|1?[0-9])\])"", ""[img=45]res://textures/icons/$2.png[/img]""),""--"",""—""),""-&gt;"",""•""),""~@"", CONCATENATE(""["&amp;"i]"",REGEXEXTRACT(B211,""^([\s\S]*),|$""),""[/i]"")),""~"", CONCATENATE(""[i]"",B211,""[/i]"")),""(\([\s\S]*?\))"",""[i][color=#34343A]$0[/color][/i]""), ""&lt;"", ""[""), ""&gt;"", ""]""), ""[/p][p]"", ""[font_size=15]\n\n[/font_size]""), ""[br/]"", ""\n"")"),"Choose an asset attached to a combatant;its owner [u]forfeits[/u] [i][color=#34343A](Put the specified card into its owner's discard.)[/color][/i] it.")</f>
        <v xml:space="preserve">Choose an asset attached to a combatant;its owner [u]forfeits[/u] [i][color=#34343A](Put the specified card into its owner's discard.)[/color][/i] it.</v>
      </c>
      <c r="W211" s="4" t="str">
        <f t="shared" si="12"/>
        <v>[i]Effect[/i]</v>
      </c>
      <c r="X211" s="4" t="str">
        <f t="shared" si="13"/>
        <v>RT_GU_015</v>
      </c>
    </row>
    <row r="212" outlineLevel="1">
      <c r="A212" s="1" t="s">
        <v>837</v>
      </c>
      <c r="B212" s="1" t="s">
        <v>838</v>
      </c>
      <c r="C212" s="2" t="s">
        <v>744</v>
      </c>
      <c r="D212" s="6" t="str">
        <f>IFERROR(__xludf.DUMMYFUNCTION("IF(EQ(A212,B212),"""",SWITCH(IF(T212="""",0,COUNTA(SPLIT(T212,"" ""))),0,""Generic"",1,TRIM(T212),2,""Multicolor"",3,""Multicolor"",4,""Multicolor"",5,""Multicolor"",6,""Multicolor"",7,""Multicolor"",8,""Multicolor""))"),"Green")</f>
        <v>Green</v>
      </c>
      <c r="E212" s="1" t="s">
        <v>51</v>
      </c>
      <c r="F212" s="1" t="s">
        <v>26</v>
      </c>
      <c r="G212" s="1" t="s">
        <v>839</v>
      </c>
      <c r="H212" s="2" t="s">
        <v>129</v>
      </c>
      <c r="I212" s="3" t="s">
        <v>840</v>
      </c>
      <c r="J212" s="3"/>
      <c r="K212" s="1">
        <v>1</v>
      </c>
      <c r="L212" s="1">
        <v>3</v>
      </c>
      <c r="O212" s="3"/>
      <c r="Q212" s="1">
        <v>60</v>
      </c>
      <c r="R212" s="1">
        <v>50</v>
      </c>
      <c r="S212" s="4" t="str">
        <f t="shared" si="11"/>
        <v>True</v>
      </c>
      <c r="T212" s="4" t="str">
        <f>IFERROR(__xludf.DUMMYFUNCTION("CONCATENATE(if(REGEXMATCH(C212,""R""),"" Red"",""""),if(REGEXMATCH(C212,""O""),"" Orange"",""""),if(REGEXMATCH(C212,""Y""),"" Yellow"",""""),if(REGEXMATCH(C212,""G""),"" Green"",""""),if(REGEXMATCH(C212,""B""),"" Blue"",""""),if(REGEXMATCH(C212,""P""),"" "&amp;"Purple"",""""))")," Green")</f>
        <v>Green</v>
      </c>
      <c r="U212" s="4" t="str">
        <f>IFERROR(__xludf.DUMMYFUNCTION("TRIM(CONCAT(""[right]"", REGEXREPLACE(C212, ""([ROYGBPXZC_]|1?[0-9])"", ""[img=119]res://textures/icons/$0.png[/img]\\n"")))"),"[right][img=119]res://textures/icons/1.png[/img]\n[img=119]res://textures/icons/G.png[/img]\n")</f>
        <v>[right][img=119]res://textures/icons/1.png[/img]\n[img=119]res://textures/icons/G.png[/img]\n</v>
      </c>
      <c r="V212" s="4" t="str">
        <f>IFERROR(__xludf.DUMMYFUNCTION("SUBSTITUTE(SUBSTITUTE(SUBSTITUTE(SUBSTITUTE(REGEXREPLACE(SUBSTITUTE(SUBSTITUTE(SUBSTITUTE(SUBSTITUTE(REGEXREPLACE(I212, ""(\[([ROYGBPTQUXZC_]|1?[0-9])\])"", ""[img=45]res://textures/icons/$2.png[/img]""),""--"",""—""),""-&gt;"",""•""),""~@"", CONCATENATE(""["&amp;"i]"",REGEXEXTRACT(B212,""^([\s\S]*),|$""),""[/i]"")),""~"", CONCATENATE(""[i]"",B212,""[/i]"")),""(\([\s\S]*?\))"",""[i][color=#34343A]$0[/color][/i]""), ""&lt;"", ""[""), ""&gt;"", ""]""), ""[/p][p]"", ""[font_size=15]\n\n[/font_size]""), ""[br/]"", ""\n"")"),"[center][u]Armed — [i]'Ballistic Pistol'[/i][/u] [i][color=#34343A]([i]Supplyman[/i] enters the battlefield with a transient [i]'Ballistic Pistol'[/i] attached to it.)[/color][/i][/center][p]When [i]Supplyman[/i] enters the battlefield choose a gun; refil"&amp;"l all of its ammo.[/p]")</f>
        <v xml:space="preserve">[center][u]Armed — [i]'Ballistic Pistol'[/i][/u] [i][color=#34343A]([i]Supplyman[/i] enters the battlefield with a transient [i]'Ballistic Pistol'[/i] attached to it.)[/color][/i][/center][p]When [i]Supplyman[/i] enters the battlefield choose a gun; refill all of its ammo.[/p]</v>
      </c>
      <c r="W212" s="4" t="str">
        <f t="shared" si="12"/>
        <v>[i]Asset[/i]</v>
      </c>
      <c r="X212" s="4" t="str">
        <f t="shared" si="13"/>
        <v>RT_GU_016</v>
      </c>
    </row>
    <row r="213" outlineLevel="1">
      <c r="A213" s="1" t="s">
        <v>841</v>
      </c>
      <c r="B213" s="1" t="s">
        <v>842</v>
      </c>
      <c r="C213" s="2" t="s">
        <v>744</v>
      </c>
      <c r="D213" s="6" t="str">
        <f>IFERROR(__xludf.DUMMYFUNCTION("IF(EQ(A213,B213),"""",SWITCH(IF(T213="""",0,COUNTA(SPLIT(T213,"" ""))),0,""Generic"",1,TRIM(T213),2,""Multicolor"",3,""Multicolor"",4,""Multicolor"",5,""Multicolor"",6,""Multicolor"",7,""Multicolor"",8,""Multicolor""))"),"Green")</f>
        <v>Green</v>
      </c>
      <c r="E213" s="1" t="s">
        <v>51</v>
      </c>
      <c r="F213" s="1" t="s">
        <v>26</v>
      </c>
      <c r="G213" s="1" t="s">
        <v>843</v>
      </c>
      <c r="H213" s="2" t="s">
        <v>50</v>
      </c>
      <c r="I213" s="3" t="s">
        <v>844</v>
      </c>
      <c r="J213" s="3"/>
      <c r="K213" s="1">
        <v>3</v>
      </c>
      <c r="L213" s="1">
        <v>1</v>
      </c>
      <c r="O213" s="3"/>
      <c r="Q213" s="1">
        <v>60</v>
      </c>
      <c r="R213" s="1">
        <v>35</v>
      </c>
      <c r="S213" s="4" t="str">
        <f t="shared" si="11"/>
        <v>True</v>
      </c>
      <c r="T213" s="4" t="str">
        <f>IFERROR(__xludf.DUMMYFUNCTION("CONCATENATE(if(REGEXMATCH(C213,""R""),"" Red"",""""),if(REGEXMATCH(C213,""O""),"" Orange"",""""),if(REGEXMATCH(C213,""Y""),"" Yellow"",""""),if(REGEXMATCH(C213,""G""),"" Green"",""""),if(REGEXMATCH(C213,""B""),"" Blue"",""""),if(REGEXMATCH(C213,""P""),"" "&amp;"Purple"",""""))")," Green")</f>
        <v>Green</v>
      </c>
      <c r="U213" s="4" t="str">
        <f>IFERROR(__xludf.DUMMYFUNCTION("TRIM(CONCAT(""[right]"", REGEXREPLACE(C213, ""([ROYGBPXZC_]|1?[0-9])"", ""[img=119]res://textures/icons/$0.png[/img]\\n"")))"),"[right][img=119]res://textures/icons/1.png[/img]\n[img=119]res://textures/icons/G.png[/img]\n")</f>
        <v>[right][img=119]res://textures/icons/1.png[/img]\n[img=119]res://textures/icons/G.png[/img]\n</v>
      </c>
      <c r="V213" s="4" t="str">
        <f>IFERROR(__xludf.DUMMYFUNCTION("SUBSTITUTE(SUBSTITUTE(SUBSTITUTE(SUBSTITUTE(REGEXREPLACE(SUBSTITUTE(SUBSTITUTE(SUBSTITUTE(SUBSTITUTE(REGEXREPLACE(I213, ""(\[([ROYGBPTQUXZC_]|1?[0-9])\])"", ""[img=45]res://textures/icons/$2.png[/img]""),""--"",""—""),""-&gt;"",""•""),""~@"", CONCATENATE(""["&amp;"i]"",REGEXEXTRACT(B213,""^([\s\S]*),|$""),""[/i]"")),""~"", CONCATENATE(""[i]"",B213,""[/i]"")),""(\([\s\S]*?\))"",""[i][color=#34343A]$0[/color][/i]""), ""&lt;"", ""[""), ""&gt;"", ""]""), ""[/p][p]"", ""[font_size=15]\n\n[/font_size]""), ""[br/]"", ""\n"")"),"[center][u]Armor 4[/u] [i][color=#34343A](Damage dealt to [i]PMC Recruit[/i] by any source is reduced by 4. Whenever damage is reduced this way [i]PMC Recruit[/i] loses that much armor.)[/color][/i][/center]")</f>
        <v xml:space="preserve">[center][u]Armor 4[/u] [i][color=#34343A](Damage dealt to [i]PMC Recruit[/i] by any source is reduced by 4. Whenever damage is reduced this way [i]PMC Recruit[/i] loses that much armor.)[/color][/i][/center]</v>
      </c>
      <c r="W213" s="4" t="str">
        <f t="shared" si="12"/>
        <v>[i]Asset[/i]</v>
      </c>
      <c r="X213" s="4" t="str">
        <f t="shared" si="13"/>
        <v>RT_GC_013</v>
      </c>
    </row>
    <row r="214" outlineLevel="1">
      <c r="A214" s="1" t="s">
        <v>845</v>
      </c>
      <c r="B214" s="1" t="s">
        <v>846</v>
      </c>
      <c r="C214" s="2" t="s">
        <v>757</v>
      </c>
      <c r="D214" s="6" t="str">
        <f>IFERROR(__xludf.DUMMYFUNCTION("IF(EQ(A214,B214),"""",SWITCH(IF(T214="""",0,COUNTA(SPLIT(T214,"" ""))),0,""Generic"",1,TRIM(T214),2,""Multicolor"",3,""Multicolor"",4,""Multicolor"",5,""Multicolor"",6,""Multicolor"",7,""Multicolor"",8,""Multicolor""))"),"Green")</f>
        <v>Green</v>
      </c>
      <c r="E214" s="1"/>
      <c r="F214" s="1" t="s">
        <v>26</v>
      </c>
      <c r="G214" s="1" t="s">
        <v>269</v>
      </c>
      <c r="H214" s="2" t="s">
        <v>50</v>
      </c>
      <c r="I214" s="11" t="s">
        <v>847</v>
      </c>
      <c r="J214" s="3"/>
      <c r="O214" s="3"/>
      <c r="Q214" s="1">
        <v>60</v>
      </c>
      <c r="R214" s="1">
        <v>50</v>
      </c>
      <c r="S214" s="4" t="str">
        <f t="shared" si="11"/>
        <v>False</v>
      </c>
      <c r="T214" s="4" t="str">
        <f>IFERROR(__xludf.DUMMYFUNCTION("CONCATENATE(if(REGEXMATCH(C214,""R""),"" Red"",""""),if(REGEXMATCH(C214,""O""),"" Orange"",""""),if(REGEXMATCH(C214,""Y""),"" Yellow"",""""),if(REGEXMATCH(C214,""G""),"" Green"",""""),if(REGEXMATCH(C214,""B""),"" Blue"",""""),if(REGEXMATCH(C214,""P""),"" "&amp;"Purple"",""""))")," Green")</f>
        <v>Green</v>
      </c>
      <c r="U214" s="4" t="str">
        <f>IFERROR(__xludf.DUMMYFUNCTION("TRIM(CONCAT(""[right]"", REGEXREPLACE(C214, ""([ROYGBPXZC_]|1?[0-9])"", ""[img=119]res://textures/icons/$0.png[/img]\\n"")))"),"[right][img=119]res://textures/icons/G.png[/img]\n")</f>
        <v>[right][img=119]res://textures/icons/G.png[/img]\n</v>
      </c>
      <c r="V214" s="4" t="str">
        <f>IFERROR(__xludf.DUMMYFUNCTION("SUBSTITUTE(SUBSTITUTE(SUBSTITUTE(SUBSTITUTE(REGEXREPLACE(SUBSTITUTE(SUBSTITUTE(SUBSTITUTE(SUBSTITUTE(REGEXREPLACE(I214, ""(\[([ROYGBPTQUXZC_]|1?[0-9])\])"", ""[img=45]res://textures/icons/$2.png[/img]""),""--"",""—""),""-&gt;"",""•""),""~@"", CONCATENATE(""["&amp;"i]"",REGEXEXTRACT(B214,""^([\s\S]*),|$""),""[/i]"")),""~"", CONCATENATE(""[i]"",B214,""[/i]"")),""(\([\s\S]*?\))"",""[i][color=#34343A]$0[/color][/i]""), ""&lt;"", ""[""), ""&gt;"", ""]""), ""[/p][p]"", ""[font_size=15]\n\n[/font_size]""), ""[br/]"", ""\n"")"),"[center][u]Exchange [img=45]res://textures/icons/G.png[/img][/u] [i][color=#34343A](Pay [img=45]res://textures/icons/G.png[/img], Discard [i]Adrenaline[/i] from your hand: Draw a card.)[/color][/i][/center][p][img=45]res://textures/icons/T.png[/img], [u]F"&amp;"orfeit[/u] [i][color=#34343A](Put the specified card into its owner's discard.)[/color][/i] [i]Adrenaline[/i]: Choose an asset; until end of turn, it gets +4/+4.[/p]")</f>
        <v xml:space="preserve">[center][u]Exchange [img=45]res://textures/icons/G.png[/img][/u] [i][color=#34343A](Pay [img=45]res://textures/icons/G.png[/img], Discard [i]Adrenaline[/i] from your hand: Draw a card.)[/color][/i][/center][p][img=45]res://textures/icons/T.png[/img], [u]Forfeit[/u] [i][color=#34343A](Put the specified card into its owner's discard.)[/color][/i] [i]Adrenaline[/i]: Choose an asset; until end of turn, it gets +4/+4.[/p]</v>
      </c>
      <c r="W214" s="4" t="str">
        <f t="shared" si="12"/>
        <v>[i]Asset[/i]</v>
      </c>
      <c r="X214" s="4" t="str">
        <f t="shared" si="13"/>
        <v>RT_GC_014</v>
      </c>
    </row>
    <row r="215" outlineLevel="1">
      <c r="A215" s="1" t="s">
        <v>848</v>
      </c>
      <c r="B215" s="4" t="s">
        <v>849</v>
      </c>
      <c r="C215" s="5" t="s">
        <v>692</v>
      </c>
      <c r="D215" s="6" t="str">
        <f>IFERROR(__xludf.DUMMYFUNCTION("IF(ISBLANK(A215),"""",SWITCH(IF(T215="""",0,COUNTA(SPLIT(T215,"" ""))),0,""Generic"",1,TRIM(T215),2,""Multicolor"",3,""Multicolor"",4,""Multicolor"",5,""Multicolor"",6,""Multicolor"",7,""Multicolor"",8,""Multicolor""))"),"Green")</f>
        <v>Green</v>
      </c>
      <c r="E215" s="4" t="s">
        <v>51</v>
      </c>
      <c r="F215" s="4" t="s">
        <v>26</v>
      </c>
      <c r="G215" s="4" t="s">
        <v>850</v>
      </c>
      <c r="H215" s="5" t="s">
        <v>44</v>
      </c>
      <c r="I215" s="3" t="s">
        <v>851</v>
      </c>
      <c r="J215" s="3"/>
      <c r="K215" s="1">
        <v>3</v>
      </c>
      <c r="L215" s="1">
        <v>6</v>
      </c>
      <c r="O215" s="3"/>
      <c r="Q215" s="1">
        <v>60</v>
      </c>
      <c r="R215" s="1">
        <v>35</v>
      </c>
      <c r="S215" s="4" t="str">
        <f t="shared" si="11"/>
        <v>True</v>
      </c>
      <c r="T215" s="4" t="str">
        <f>IFERROR(__xludf.DUMMYFUNCTION("CONCATENATE(if(REGEXMATCH(C215,""R""),"" Red"",""""),if(REGEXMATCH(C215,""O""),"" Orange"",""""),if(REGEXMATCH(C215,""Y""),"" Yellow"",""""),if(REGEXMATCH(C215,""G""),"" Green"",""""),if(REGEXMATCH(C215,""B""),"" Blue"",""""),if(REGEXMATCH(C215,""P""),"" "&amp;"Purple"",""""))")," Green")</f>
        <v>Green</v>
      </c>
      <c r="U215" s="4" t="str">
        <f>IFERROR(__xludf.DUMMYFUNCTION("TRIM(CONCAT(""[right]"", REGEXREPLACE(C215, ""([ROYGBPXZC_]|1?[0-9])"", ""[img=119]res://textures/icons/$0.png[/img]\\n"")))"),"[right][img=119]res://textures/icons/2.png[/img]\n[img=119]res://textures/icons/G.png[/img]\n")</f>
        <v>[right][img=119]res://textures/icons/2.png[/img]\n[img=119]res://textures/icons/G.png[/img]\n</v>
      </c>
      <c r="V215" s="4" t="str">
        <f>IFERROR(__xludf.DUMMYFUNCTION("SUBSTITUTE(SUBSTITUTE(SUBSTITUTE(SUBSTITUTE(REGEXREPLACE(SUBSTITUTE(SUBSTITUTE(SUBSTITUTE(SUBSTITUTE(REGEXREPLACE(I215, ""(\[([ROYGBPTQUXZC_]|1?[0-9])\])"", ""[img=45]res://textures/icons/$2.png[/img]""),""--"",""—""),""-&gt;"",""•""),""~@"", CONCATENATE(""["&amp;"i]"",REGEXEXTRACT(B215,""^([\s\S]*),|$""),""[/i]"")),""~"", CONCATENATE(""[i]"",B215,""[/i]"")),""(\([\s\S]*?\))"",""[i][color=#34343A]$0[/color][/i]""), ""&lt;"", ""[""), ""&gt;"", ""]""), ""[/p][p]"", ""[font_size=15]\n\n[/font_size]""), ""[br/]"", ""\n"")"),"[i]Strength in Numbers[/i] — Whenever [i]Sister in Arms[/i] attacks, choose another combatant, that combatant attacks with [i]Sister in Arms[/i]. Until end of turn, that asset gets +2/+0.")</f>
        <v xml:space="preserve">[i]Strength in Numbers[/i] — Whenever [i]Sister in Arms[/i] attacks, choose another combatant, that combatant attacks with [i]Sister in Arms[/i]. Until end of turn, that asset gets +2/+0.</v>
      </c>
      <c r="W215" s="4" t="str">
        <f t="shared" si="12"/>
        <v>[i]Asset[/i]</v>
      </c>
      <c r="X215" s="4" t="str">
        <f t="shared" si="13"/>
        <v>RT_GC_015</v>
      </c>
    </row>
    <row r="216" outlineLevel="1">
      <c r="A216" s="1" t="s">
        <v>852</v>
      </c>
      <c r="B216" s="4" t="s">
        <v>853</v>
      </c>
      <c r="C216" s="5" t="s">
        <v>692</v>
      </c>
      <c r="D216" s="6" t="str">
        <f>IFERROR(__xludf.DUMMYFUNCTION("IF(ISBLANK(A216),"""",SWITCH(IF(T216="""",0,COUNTA(SPLIT(T216,"" ""))),0,""Generic"",1,TRIM(T216),2,""Multicolor"",3,""Multicolor"",4,""Multicolor"",5,""Multicolor"",6,""Multicolor"",7,""Multicolor"",8,""Multicolor""))"),"Green")</f>
        <v>Green</v>
      </c>
      <c r="E216" s="4" t="s">
        <v>51</v>
      </c>
      <c r="F216" s="4" t="s">
        <v>26</v>
      </c>
      <c r="G216" s="4" t="s">
        <v>854</v>
      </c>
      <c r="H216" s="5" t="s">
        <v>134</v>
      </c>
      <c r="I216" s="7" t="s">
        <v>855</v>
      </c>
      <c r="J216" s="4"/>
      <c r="K216" s="8">
        <v>3</v>
      </c>
      <c r="L216" s="8">
        <v>6</v>
      </c>
      <c r="O216" s="3"/>
      <c r="Q216" s="1">
        <v>60</v>
      </c>
      <c r="R216" s="1">
        <v>50</v>
      </c>
      <c r="S216" s="4" t="str">
        <f t="shared" si="11"/>
        <v>True</v>
      </c>
      <c r="T216" s="4" t="str">
        <f>IFERROR(__xludf.DUMMYFUNCTION("CONCATENATE(if(REGEXMATCH(C216,""R""),"" Red"",""""),if(REGEXMATCH(C216,""O""),"" Orange"",""""),if(REGEXMATCH(C216,""Y""),"" Yellow"",""""),if(REGEXMATCH(C216,""G""),"" Green"",""""),if(REGEXMATCH(C216,""B""),"" Blue"",""""),if(REGEXMATCH(C216,""P""),"" "&amp;"Purple"",""""))")," Green")</f>
        <v>Green</v>
      </c>
      <c r="U216" s="4" t="str">
        <f>IFERROR(__xludf.DUMMYFUNCTION("TRIM(CONCAT(""[right]"", REGEXREPLACE(C216, ""([ROYGBPXZC_]|1?[0-9])"", ""[img=119]res://textures/icons/$0.png[/img]\\n"")))"),"[right][img=119]res://textures/icons/2.png[/img]\n[img=119]res://textures/icons/G.png[/img]\n")</f>
        <v>[right][img=119]res://textures/icons/2.png[/img]\n[img=119]res://textures/icons/G.png[/img]\n</v>
      </c>
      <c r="V216" s="4" t="str">
        <f>IFERROR(__xludf.DUMMYFUNCTION("SUBSTITUTE(SUBSTITUTE(SUBSTITUTE(SUBSTITUTE(REGEXREPLACE(SUBSTITUTE(SUBSTITUTE(SUBSTITUTE(SUBSTITUTE(REGEXREPLACE(I216, ""(\[([ROYGBPTQUXZC_]|1?[0-9])\])"", ""[img=45]res://textures/icons/$2.png[/img]""),""--"",""—""),""-&gt;"",""•""),""~@"", CONCATENATE(""["&amp;"i]"",REGEXEXTRACT(B216,""^([\s\S]*),|$""),""[/i]"")),""~"", CONCATENATE(""[i]"",B216,""[/i]"")),""(\([\s\S]*?\))"",""[i][color=#34343A]$0[/color][/i]""), ""&lt;"", ""[""), ""&gt;"", ""]""), ""[/p][p]"", ""[font_size=15]\n\n[/font_size]""), ""[br/]"", ""\n"")"),"[center][u]Challenge[/u] [i][color=#34343A](Whenever [i]Survivalist[/i] attacks, choose another combatant to intercept it, if able.)[/color][/i][/center]")</f>
        <v xml:space="preserve">[center][u]Challenge[/u] [i][color=#34343A](Whenever [i]Survivalist[/i] attacks, choose another combatant to intercept it, if able.)[/color][/i][/center]</v>
      </c>
      <c r="W216" s="4" t="str">
        <f t="shared" si="12"/>
        <v>[i]Asset[/i]</v>
      </c>
      <c r="X216" s="4" t="str">
        <f t="shared" si="13"/>
        <v>RT_GC_016</v>
      </c>
    </row>
    <row r="217" outlineLevel="1">
      <c r="A217" s="1" t="s">
        <v>856</v>
      </c>
      <c r="B217" s="4" t="s">
        <v>857</v>
      </c>
      <c r="C217" s="5" t="s">
        <v>712</v>
      </c>
      <c r="D217" s="6" t="str">
        <f>IFERROR(__xludf.DUMMYFUNCTION("IF(ISBLANK(A217),"""",SWITCH(IF(T217="""",0,COUNTA(SPLIT(T217,"" ""))),0,""Generic"",1,TRIM(T217),2,""Multicolor"",3,""Multicolor"",4,""Multicolor"",5,""Multicolor"",6,""Multicolor"",7,""Multicolor"",8,""Multicolor""))"),"Green")</f>
        <v>Green</v>
      </c>
      <c r="E217" s="4" t="s">
        <v>79</v>
      </c>
      <c r="F217" s="4" t="s">
        <v>26</v>
      </c>
      <c r="G217" s="4" t="s">
        <v>713</v>
      </c>
      <c r="H217" s="5" t="s">
        <v>44</v>
      </c>
      <c r="I217" s="7" t="s">
        <v>858</v>
      </c>
      <c r="J217" s="4"/>
      <c r="K217" s="8">
        <v>7</v>
      </c>
      <c r="L217" s="8">
        <v>8</v>
      </c>
      <c r="O217" s="3"/>
      <c r="Q217" s="1">
        <v>50</v>
      </c>
      <c r="R217" s="1">
        <v>50</v>
      </c>
      <c r="S217" s="4" t="str">
        <f t="shared" si="11"/>
        <v>True</v>
      </c>
      <c r="T217" s="4" t="str">
        <f>IFERROR(__xludf.DUMMYFUNCTION("CONCATENATE(if(REGEXMATCH(C217,""R""),"" Red"",""""),if(REGEXMATCH(C217,""O""),"" Orange"",""""),if(REGEXMATCH(C217,""Y""),"" Yellow"",""""),if(REGEXMATCH(C217,""G""),"" Green"",""""),if(REGEXMATCH(C217,""B""),"" Blue"",""""),if(REGEXMATCH(C217,""P""),"" "&amp;"Purple"",""""))")," Green")</f>
        <v>Green</v>
      </c>
      <c r="U217" s="4" t="str">
        <f>IFERROR(__xludf.DUMMYFUNCTION("TRIM(CONCAT(""[right]"", REGEXREPLACE(C217, ""([ROYGBPXZC_]|1?[0-9])"", ""[img=119]res://textures/icons/$0.png[/img]\\n"")))"),"[right][img=119]res://textures/icons/3.png[/img]\n[img=119]res://textures/icons/G.png[/img]\n")</f>
        <v>[right][img=119]res://textures/icons/3.png[/img]\n[img=119]res://textures/icons/G.png[/img]\n</v>
      </c>
      <c r="V217" s="4" t="str">
        <f>IFERROR(__xludf.DUMMYFUNCTION("SUBSTITUTE(SUBSTITUTE(SUBSTITUTE(SUBSTITUTE(REGEXREPLACE(SUBSTITUTE(SUBSTITUTE(SUBSTITUTE(SUBSTITUTE(REGEXREPLACE(I217, ""(\[([ROYGBPTQUXZC_]|1?[0-9])\])"", ""[img=45]res://textures/icons/$2.png[/img]""),""--"",""—""),""-&gt;"",""•""),""~@"", CONCATENATE(""["&amp;"i]"",REGEXEXTRACT(B217,""^([\s\S]*),|$""),""[/i]"")),""~"", CONCATENATE(""[i]"",B217,""[/i]"")),""(\([\s\S]*?\))"",""[i][color=#34343A]$0[/color][/i]""), ""&lt;"", ""[""), ""&gt;"", ""]""), ""[/p][p]"", ""[font_size=15]\n\n[/font_size]""), ""[br/]"", ""\n"")"),"[center][u]Vehicle[/u] [i][color=#34343A](When [i]Anti-Orbital Cannon[/i] enters the battlefield, you may choose another asset to attach it to. The combined unit has all effects of both assets, and the highest attack power, health, and ranged status of th"&amp;"e two.)[/color][/i], [u]Anti-Orbital[/u] [i][color=#34343A]([i]Anti-Orbital Cannon[/i] can intercept assets with spacecraft.)[/color][/i][/center]")</f>
        <v xml:space="preserve">[center][u]Vehicle[/u] [i][color=#34343A](When [i]Anti-Orbital Cannon[/i] enters the battlefield, you may choose another asset to attach it to. The combined unit has all effects of both assets, and the highest attack power, health, and ranged status of the two.)[/color][/i], [u]Anti-Orbital[/u] [i][color=#34343A]([i]Anti-Orbital Cannon[/i] can intercept assets with spacecraft.)[/color][/i][/center]</v>
      </c>
      <c r="W217" s="4" t="str">
        <f t="shared" si="12"/>
        <v>[i]Asset[/i]</v>
      </c>
      <c r="X217" s="4" t="str">
        <f t="shared" si="13"/>
        <v>RT_GC_017</v>
      </c>
    </row>
    <row r="218" outlineLevel="1">
      <c r="A218" s="1" t="s">
        <v>859</v>
      </c>
      <c r="B218" s="4" t="s">
        <v>860</v>
      </c>
      <c r="C218" s="5" t="s">
        <v>757</v>
      </c>
      <c r="D218" s="6" t="s">
        <v>723</v>
      </c>
      <c r="E218" s="4"/>
      <c r="F218" s="4" t="s">
        <v>33</v>
      </c>
      <c r="G218" s="4" t="s">
        <v>118</v>
      </c>
      <c r="H218" s="5" t="s">
        <v>129</v>
      </c>
      <c r="I218" s="7" t="s">
        <v>861</v>
      </c>
      <c r="J218" s="3"/>
      <c r="O218" s="3"/>
      <c r="Q218" s="1">
        <v>60</v>
      </c>
      <c r="R218" s="1">
        <v>50</v>
      </c>
      <c r="S218" s="4" t="str">
        <f t="shared" si="11"/>
        <v>False</v>
      </c>
      <c r="T218" s="4" t="str">
        <f>IFERROR(__xludf.DUMMYFUNCTION("CONCATENATE(if(REGEXMATCH(C218,""R""),"" Red"",""""),if(REGEXMATCH(C218,""O""),"" Orange"",""""),if(REGEXMATCH(C218,""Y""),"" Yellow"",""""),if(REGEXMATCH(C218,""G""),"" Green"",""""),if(REGEXMATCH(C218,""B""),"" Blue"",""""),if(REGEXMATCH(C218,""P""),"" "&amp;"Purple"",""""))")," Green")</f>
        <v>Green</v>
      </c>
      <c r="U218" s="4" t="str">
        <f>IFERROR(__xludf.DUMMYFUNCTION("TRIM(CONCAT(""[right]"", REGEXREPLACE(C218, ""([ROYGBPXZC_]|1?[0-9])"", ""[img=119]res://textures/icons/$0.png[/img]\\n"")))"),"[right][img=119]res://textures/icons/G.png[/img]\n")</f>
        <v>[right][img=119]res://textures/icons/G.png[/img]\n</v>
      </c>
      <c r="V218" s="4" t="str">
        <f>IFERROR(__xludf.DUMMYFUNCTION("SUBSTITUTE(SUBSTITUTE(SUBSTITUTE(SUBSTITUTE(REGEXREPLACE(SUBSTITUTE(SUBSTITUTE(SUBSTITUTE(SUBSTITUTE(REGEXREPLACE(I218, ""(\[([ROYGBPTQUXZC_]|1?[0-9])\])"", ""[img=45]res://textures/icons/$2.png[/img]""),""--"",""—""),""-&gt;"",""•""),""~@"", CONCATENATE(""["&amp;"i]"",REGEXEXTRACT(B218,""^([\s\S]*),|$""),""[/i]"")),""~"", CONCATENATE(""[i]"",B218,""[/i]"")),""(\([\s\S]*?\))"",""[i][color=#34343A]$0[/color][/i]""), ""&lt;"", ""[""), ""&gt;"", ""]""), ""[/p][p]"", ""[font_size=15]\n\n[/font_size]""), ""[br/]"", ""\n"")"),"[center][u]Append to Combatant [img=45]res://textures/icons/1.png[/img][img=45]res://textures/icons/G.png[/img][/u] [i][color=#34343A](As you deploy a combatant you may reveal [i]Steroids[/i] and pay [img=45]res://textures/icons/1.png[/img][img=45]res://t"&amp;"extures/icons/G.png[/img]. If you do add this card's effects as it resolves; it loses those effects once it leaves the stack.)[/color][/i][/center][p]Choose a combatant; until end of turn, it gets +2/+2.[/p]")</f>
        <v xml:space="preserve">[center][u]Append to Combatant [img=45]res://textures/icons/1.png[/img][img=45]res://textures/icons/G.png[/img][/u] [i][color=#34343A](As you deploy a combatant you may reveal [i]Steroids[/i] and pay [img=45]res://textures/icons/1.png[/img][img=45]res://textures/icons/G.png[/img]. If you do add this card's effects as it resolves; it loses those effects once it leaves the stack.)[/color][/i][/center][p]Choose a combatant; until end of turn, it gets +2/+2.[/p]</v>
      </c>
      <c r="W218" s="4" t="str">
        <f t="shared" si="12"/>
        <v>[i]Effect[/i]</v>
      </c>
      <c r="X218" s="4" t="str">
        <f t="shared" si="13"/>
        <v>RT_GC_018</v>
      </c>
    </row>
    <row r="219" outlineLevel="1">
      <c r="A219" s="1" t="s">
        <v>862</v>
      </c>
      <c r="B219" s="4" t="s">
        <v>863</v>
      </c>
      <c r="C219" s="5" t="s">
        <v>700</v>
      </c>
      <c r="D219" s="6" t="str">
        <f>IFERROR(__xludf.DUMMYFUNCTION("IF(ISBLANK(A219),"""",SWITCH(IF(T219="""",0,COUNTA(SPLIT(T219,"" ""))),0,""Generic"",1,TRIM(T219),2,""Multicolor"",3,""Multicolor"",4,""Multicolor"",5,""Multicolor"",6,""Multicolor"",7,""Multicolor"",8,""Multicolor""))"),"Green")</f>
        <v>Green</v>
      </c>
      <c r="E219" s="4" t="s">
        <v>51</v>
      </c>
      <c r="F219" s="4" t="s">
        <v>26</v>
      </c>
      <c r="G219" s="4" t="s">
        <v>864</v>
      </c>
      <c r="H219" s="5" t="s">
        <v>32</v>
      </c>
      <c r="I219" s="10" t="s">
        <v>865</v>
      </c>
      <c r="J219" s="4"/>
      <c r="K219" s="8">
        <v>3</v>
      </c>
      <c r="L219" s="8">
        <v>4</v>
      </c>
      <c r="O219" s="3"/>
      <c r="Q219" s="1">
        <v>60</v>
      </c>
      <c r="R219" s="1">
        <v>50</v>
      </c>
      <c r="S219" s="4" t="str">
        <f t="shared" si="11"/>
        <v>True</v>
      </c>
      <c r="T219" s="4" t="str">
        <f>IFERROR(__xludf.DUMMYFUNCTION("CONCATENATE(if(REGEXMATCH(C219,""R""),"" Red"",""""),if(REGEXMATCH(C219,""O""),"" Orange"",""""),if(REGEXMATCH(C219,""Y""),"" Yellow"",""""),if(REGEXMATCH(C219,""G""),"" Green"",""""),if(REGEXMATCH(C219,""B""),"" Blue"",""""),if(REGEXMATCH(C219,""P""),"" "&amp;"Purple"",""""))")," Green")</f>
        <v>Green</v>
      </c>
      <c r="U219" s="4" t="str">
        <f>IFERROR(__xludf.DUMMYFUNCTION("TRIM(CONCAT(""[right]"", REGEXREPLACE(C219, ""([ROYGBPXZC_]|1?[0-9])"", ""[img=119]res://textures/icons/$0.png[/img]\\n"")))"),"[right][img=119]res://textures/icons/G.png[/img]\n[img=119]res://textures/icons/G.png[/img]\n")</f>
        <v>[right][img=119]res://textures/icons/G.png[/img]\n[img=119]res://textures/icons/G.png[/img]\n</v>
      </c>
      <c r="V219" s="4" t="str">
        <f>IFERROR(__xludf.DUMMYFUNCTION("SUBSTITUTE(SUBSTITUTE(SUBSTITUTE(SUBSTITUTE(REGEXREPLACE(SUBSTITUTE(SUBSTITUTE(SUBSTITUTE(SUBSTITUTE(REGEXREPLACE(I219, ""(\[([ROYGBPTQUXZC_]|1?[0-9])\])"", ""[img=45]res://textures/icons/$2.png[/img]""),""--"",""—""),""-&gt;"",""•""),""~@"", CONCATENATE(""["&amp;"i]"",REGEXEXTRACT(B219,""^([\s\S]*),|$""),""[/i]"")),""~"", CONCATENATE(""[i]"",B219,""[/i]"")),""(\([\s\S]*?\))"",""[i][color=#34343A]$0[/color][/i]""), ""&lt;"", ""[""), ""&gt;"", ""]""), ""[/p][p]"", ""[font_size=15]\n\n[/font_size]""), ""[br/]"", ""\n"")"),"[center][u]Armor 3[/u] [i][color=#34343A](Damage dealt to [i]exaLink GC010[/i] by any source is reduced by 3. Whenever damage is reduced this way [i]exaLink GC010[/i] loses that much armor.)[/color][/i][/center]")</f>
        <v xml:space="preserve">[center][u]Armor 3[/u] [i][color=#34343A](Damage dealt to [i]exaLink GC010[/i] by any source is reduced by 3. Whenever damage is reduced this way [i]exaLink GC010[/i] loses that much armor.)[/color][/i][/center]</v>
      </c>
      <c r="W219" s="4" t="str">
        <f t="shared" si="12"/>
        <v>[i]Asset[/i]</v>
      </c>
      <c r="X219" s="4" t="str">
        <f t="shared" si="13"/>
        <v>RT_GC_019</v>
      </c>
    </row>
    <row r="220" outlineLevel="1">
      <c r="A220" s="1" t="s">
        <v>866</v>
      </c>
      <c r="B220" s="1" t="s">
        <v>867</v>
      </c>
      <c r="C220" s="2" t="s">
        <v>757</v>
      </c>
      <c r="D220" s="6" t="str">
        <f>IFERROR(__xludf.DUMMYFUNCTION("IF(EQ(A220,B220),"""",SWITCH(IF(T220="""",0,COUNTA(SPLIT(T220,"" ""))),0,""Generic"",1,TRIM(T220),2,""Multicolor"",3,""Multicolor"",4,""Multicolor"",5,""Multicolor"",6,""Multicolor"",7,""Multicolor"",8,""Multicolor""))"),"Green")</f>
        <v>Green</v>
      </c>
      <c r="E220" s="1"/>
      <c r="F220" s="1" t="s">
        <v>33</v>
      </c>
      <c r="G220" s="1" t="s">
        <v>118</v>
      </c>
      <c r="H220" s="2" t="s">
        <v>50</v>
      </c>
      <c r="I220" s="7" t="s">
        <v>868</v>
      </c>
      <c r="J220" s="3"/>
      <c r="O220" s="3"/>
      <c r="Q220" s="1">
        <v>60</v>
      </c>
      <c r="R220" s="1">
        <v>50</v>
      </c>
      <c r="S220" s="4" t="str">
        <f t="shared" si="11"/>
        <v>False</v>
      </c>
      <c r="T220" s="4" t="str">
        <f>IFERROR(__xludf.DUMMYFUNCTION("CONCATENATE(if(REGEXMATCH(C220,""R""),"" Red"",""""),if(REGEXMATCH(C220,""O""),"" Orange"",""""),if(REGEXMATCH(C220,""Y""),"" Yellow"",""""),if(REGEXMATCH(C220,""G""),"" Green"",""""),if(REGEXMATCH(C220,""B""),"" Blue"",""""),if(REGEXMATCH(C220,""P""),"" "&amp;"Purple"",""""))")," Green")</f>
        <v>Green</v>
      </c>
      <c r="U220" s="4" t="str">
        <f>IFERROR(__xludf.DUMMYFUNCTION("TRIM(CONCAT(""[right]"", REGEXREPLACE(C220, ""([ROYGBPXZC_]|1?[0-9])"", ""[img=119]res://textures/icons/$0.png[/img]\\n"")))"),"[right][img=119]res://textures/icons/G.png[/img]\n")</f>
        <v>[right][img=119]res://textures/icons/G.png[/img]\n</v>
      </c>
      <c r="V220" s="4" t="str">
        <f>IFERROR(__xludf.DUMMYFUNCTION("SUBSTITUTE(SUBSTITUTE(SUBSTITUTE(SUBSTITUTE(REGEXREPLACE(SUBSTITUTE(SUBSTITUTE(SUBSTITUTE(SUBSTITUTE(REGEXREPLACE(I220, ""(\[([ROYGBPTQUXZC_]|1?[0-9])\])"", ""[img=45]res://textures/icons/$2.png[/img]""),""--"",""—""),""-&gt;"",""•""),""~@"", CONCATENATE(""["&amp;"i]"",REGEXEXTRACT(B220,""^([\s\S]*),|$""),""[/i]"")),""~"", CONCATENATE(""[i]"",B220,""[/i]"")),""(\([\s\S]*?\))"",""[i][color=#34343A]$0[/color][/i]""), ""&lt;"", ""[""), ""&gt;"", ""]""), ""[/p][p]"", ""[font_size=15]\n\n[/font_size]""), ""[br/]"", ""\n"")"),"Choose a combatant; until end of turn, it gains [u]Formation[/u] [i][color=#34343A](Cards with Formation have their ranged status determined by their place in their formation; a formation consists of a mandatory melee card at the front and up to 2 ranged "&amp;"cards at the back. The attack power of the formation is the sum of all combatants in the formation. Combat damage is dealt to the front combatant before the back combatants. Formations can only be formed anytime you could reorganize units.)[/color][/i]")</f>
        <v xml:space="preserve">Choose a combatant; until end of turn, it gains [u]Formation[/u] [i][color=#34343A](Cards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units.)[/color][/i]</v>
      </c>
      <c r="W220" s="4" t="str">
        <f t="shared" si="12"/>
        <v>[i]Effect[/i]</v>
      </c>
      <c r="X220" s="4" t="str">
        <f t="shared" si="13"/>
        <v>RT_GC_020</v>
      </c>
    </row>
    <row r="221" outlineLevel="1">
      <c r="A221" s="1" t="s">
        <v>869</v>
      </c>
      <c r="B221" s="1" t="s">
        <v>870</v>
      </c>
      <c r="C221" s="2" t="s">
        <v>757</v>
      </c>
      <c r="D221" s="6" t="str">
        <f>IFERROR(__xludf.DUMMYFUNCTION("IF(EQ(A221,B221),"""",SWITCH(IF(T221="""",0,COUNTA(SPLIT(T221,"" ""))),0,""Generic"",1,TRIM(T221),2,""Multicolor"",3,""Multicolor"",4,""Multicolor"",5,""Multicolor"",6,""Multicolor"",7,""Multicolor"",8,""Multicolor""))"),"Green")</f>
        <v>Green</v>
      </c>
      <c r="E221" s="1" t="s">
        <v>802</v>
      </c>
      <c r="F221" s="1" t="s">
        <v>26</v>
      </c>
      <c r="G221" s="1" t="s">
        <v>803</v>
      </c>
      <c r="H221" s="2" t="s">
        <v>32</v>
      </c>
      <c r="I221" s="3" t="s">
        <v>871</v>
      </c>
      <c r="J221" s="3"/>
      <c r="K221" s="1">
        <v>1</v>
      </c>
      <c r="L221" s="1">
        <v>1</v>
      </c>
      <c r="O221" s="3"/>
      <c r="Q221" s="1">
        <v>45</v>
      </c>
      <c r="R221" s="1">
        <v>50</v>
      </c>
      <c r="S221" s="4" t="str">
        <f t="shared" si="11"/>
        <v>True</v>
      </c>
      <c r="T221" s="4" t="str">
        <f>IFERROR(__xludf.DUMMYFUNCTION("CONCATENATE(if(REGEXMATCH(C221,""R""),"" Red"",""""),if(REGEXMATCH(C221,""O""),"" Orange"",""""),if(REGEXMATCH(C221,""Y""),"" Yellow"",""""),if(REGEXMATCH(C221,""G""),"" Green"",""""),if(REGEXMATCH(C221,""B""),"" Blue"",""""),if(REGEXMATCH(C221,""P""),"" "&amp;"Purple"",""""))")," Green")</f>
        <v>Green</v>
      </c>
      <c r="U221" s="4" t="str">
        <f>IFERROR(__xludf.DUMMYFUNCTION("TRIM(CONCAT(""[right]"", REGEXREPLACE(C221, ""([ROYGBPXZC_]|1?[0-9])"", ""[img=119]res://textures/icons/$0.png[/img]\\n"")))"),"[right][img=119]res://textures/icons/G.png[/img]\n")</f>
        <v>[right][img=119]res://textures/icons/G.png[/img]\n</v>
      </c>
      <c r="V221" s="4" t="str">
        <f>IFERROR(__xludf.DUMMYFUNCTION("SUBSTITUTE(SUBSTITUTE(SUBSTITUTE(SUBSTITUTE(REGEXREPLACE(SUBSTITUTE(SUBSTITUTE(SUBSTITUTE(SUBSTITUTE(REGEXREPLACE(I221, ""(\[([ROYGBPTQUXZC_]|1?[0-9])\])"", ""[img=45]res://textures/icons/$2.png[/img]""),""--"",""—""),""-&gt;"",""•""),""~@"", CONCATENATE(""["&amp;"i]"",REGEXEXTRACT(B221,""^([\s\S]*),|$""),""[/i]"")),""~"", CONCATENATE(""[i]"",B221,""[/i]"")),""(\([\s\S]*?\))"",""[i][color=#34343A]$0[/color][/i]""), ""&lt;"", ""[""), ""&gt;"", ""]""), ""[/p][p]"", ""[font_size=15]\n\n[/font_size]""), ""[br/]"", ""\n"")"),"[center][u]Formation[/u] [i][color=#34343A](Cards with Formation have their ranged status determined by their place in their formation; a formation consists of a mandatory melee card at the front and up to 2 ranged cards at the back. The attack power of t"&amp;"he formation is the sum of all combatants in the formation. Combat damage is dealt to the front combatant before the back combatants. Formations can only be formed anytime you could reorganize units.)[/color][/i][/center]")</f>
        <v xml:space="preserve">[center][u]Formation[/u] [i][color=#34343A](Cards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units.)[/color][/i][/center]</v>
      </c>
      <c r="W221" s="4" t="str">
        <f t="shared" si="12"/>
        <v>[i]Asset[/i]</v>
      </c>
      <c r="X221" s="4" t="str">
        <f t="shared" si="13"/>
        <v>RT_GC_021</v>
      </c>
    </row>
    <row r="222" outlineLevel="1">
      <c r="A222" s="1" t="s">
        <v>872</v>
      </c>
      <c r="B222" s="1" t="s">
        <v>873</v>
      </c>
      <c r="C222" s="2" t="s">
        <v>696</v>
      </c>
      <c r="D222" s="6" t="str">
        <f>IFERROR(__xludf.DUMMYFUNCTION("IF(EQ(A200,B222),"""",SWITCH(IF(T200="""",0,COUNTA(SPLIT(T200,"" ""))),0,""Generic"",1,TRIM(T200),2,""Multicolor"",3,""Multicolor"",4,""Multicolor"",5,""Multicolor"",6,""Multicolor"",7,""Multicolor"",8,""Multicolor""))"),"Green")</f>
        <v>Green</v>
      </c>
      <c r="E222" s="1" t="s">
        <v>51</v>
      </c>
      <c r="F222" s="1" t="s">
        <v>26</v>
      </c>
      <c r="G222" s="1" t="s">
        <v>874</v>
      </c>
      <c r="H222" s="2" t="s">
        <v>50</v>
      </c>
      <c r="I222" s="3" t="s">
        <v>875</v>
      </c>
      <c r="J222" s="3"/>
      <c r="K222" s="1">
        <v>1</v>
      </c>
      <c r="L222" s="1">
        <v>4</v>
      </c>
      <c r="O222" s="3"/>
      <c r="Q222" s="1">
        <v>60</v>
      </c>
      <c r="R222" s="1">
        <v>50</v>
      </c>
      <c r="S222" s="4" t="str">
        <f t="shared" si="11"/>
        <v>True</v>
      </c>
      <c r="T222" s="4" t="str">
        <f>IFERROR(__xludf.DUMMYFUNCTION("CONCATENATE(if(REGEXMATCH(C222,""R""),"" Red"",""""),if(REGEXMATCH(C222,""O""),"" Orange"",""""),if(REGEXMATCH(C222,""Y""),"" Yellow"",""""),if(REGEXMATCH(C222,""G""),"" Green"",""""),if(REGEXMATCH(C222,""B""),"" Blue"",""""),if(REGEXMATCH(C222,""P""),"" "&amp;"Purple"",""""))")," Green")</f>
        <v>Green</v>
      </c>
      <c r="U222" s="4" t="str">
        <f>IFERROR(__xludf.DUMMYFUNCTION("TRIM(CONCAT(""[right]"", REGEXREPLACE(C222, ""([ROYGBPXZC_]|1?[0-9])"", ""[img=119]res://textures/icons/$0.png[/img]\\n"")))"),"[right][img=119]res://textures/icons/1.png[/img]\n[img=119]res://textures/icons/G.png[/img]\n[img=119]res://textures/icons/G.png[/img]\n")</f>
        <v>[right][img=119]res://textures/icons/1.png[/img]\n[img=119]res://textures/icons/G.png[/img]\n[img=119]res://textures/icons/G.png[/img]\n</v>
      </c>
      <c r="V222" s="4" t="str">
        <f>IFERROR(__xludf.DUMMYFUNCTION("SUBSTITUTE(SUBSTITUTE(SUBSTITUTE(SUBSTITUTE(REGEXREPLACE(SUBSTITUTE(SUBSTITUTE(SUBSTITUTE(SUBSTITUTE(REGEXREPLACE(I222, ""(\[([ROYGBPTQUXZC_]|1?[0-9])\])"", ""[img=45]res://textures/icons/$2.png[/img]""),""--"",""—""),""-&gt;"",""•""),""~@"", CONCATENATE(""["&amp;"i]"",REGEXEXTRACT(B222,""^([\s\S]*),|$""),""[/i]"")),""~"", CONCATENATE(""[i]"",B222,""[/i]"")),""(\([\s\S]*?\))"",""[i][color=#34343A]$0[/color][/i]""), ""&lt;"", ""[""), ""&gt;"", ""]""), ""[/p][p]"", ""[font_size=15]\n\n[/font_size]""), ""[br/]"", ""\n"")"),"[center][u]Armor 3[/u] [i][color=#34343A](Damage dealt to [i]Deployable Wall[/i] by any source is reduced by 3. Whenever damage is reduced this way [i]Deployable Wall[/i] loses that much armor.)[/color][/i], [u]Barricade[/u] [i][color=#34343A]([i]Deployab"&amp;"le Wall[/i] can't attack; however, intercepting doesn't exhaust it.)[/color][/i][/center]")</f>
        <v xml:space="preserve">[center][u]Armor 3[/u] [i][color=#34343A](Damage dealt to [i]Deployable Wall[/i] by any source is reduced by 3. Whenever damage is reduced this way [i]Deployable Wall[/i] loses that much armor.)[/color][/i], [u]Barricade[/u] [i][color=#34343A]([i]Deployable Wall[/i] can't attack; however, intercepting doesn't exhaust it.)[/color][/i][/center]</v>
      </c>
      <c r="W222" s="4" t="str">
        <f t="shared" si="12"/>
        <v>[i]Asset[/i]</v>
      </c>
      <c r="X222" s="4" t="str">
        <f t="shared" si="13"/>
        <v>RT_GC_022</v>
      </c>
    </row>
    <row r="223">
      <c r="A223" s="1" t="s">
        <v>876</v>
      </c>
      <c r="B223" s="1" t="s">
        <v>877</v>
      </c>
      <c r="C223" s="2" t="s">
        <v>700</v>
      </c>
      <c r="D223" s="6" t="str">
        <f>IFERROR(__xludf.DUMMYFUNCTION("IF(EQ(A223,B223),"""",SWITCH(IF(T223="""",0,COUNTA(SPLIT(T223,"" ""))),0,""Generic"",1,TRIM(T223),2,""Multicolor"",3,""Multicolor"",4,""Multicolor"",5,""Multicolor"",6,""Multicolor"",7,""Multicolor"",8,""Multicolor""))"),"Green")</f>
        <v>Green</v>
      </c>
      <c r="E223" s="1" t="s">
        <v>51</v>
      </c>
      <c r="F223" s="1" t="s">
        <v>26</v>
      </c>
      <c r="G223" s="1" t="s">
        <v>758</v>
      </c>
      <c r="H223" s="2" t="s">
        <v>44</v>
      </c>
      <c r="I223" s="11" t="s">
        <v>878</v>
      </c>
      <c r="J223" s="3"/>
      <c r="K223" s="1">
        <v>1</v>
      </c>
      <c r="L223" s="1">
        <v>1</v>
      </c>
      <c r="O223" s="3"/>
      <c r="Q223" s="1">
        <v>60</v>
      </c>
      <c r="R223" s="1">
        <v>50</v>
      </c>
      <c r="S223" s="4" t="str">
        <f t="shared" si="11"/>
        <v>True</v>
      </c>
      <c r="T223" s="4" t="str">
        <f>IFERROR(__xludf.DUMMYFUNCTION("CONCATENATE(if(REGEXMATCH(C223,""R""),"" Red"",""""),if(REGEXMATCH(C223,""O""),"" Orange"",""""),if(REGEXMATCH(C223,""Y""),"" Yellow"",""""),if(REGEXMATCH(C223,""G""),"" Green"",""""),if(REGEXMATCH(C223,""B""),"" Blue"",""""),if(REGEXMATCH(C223,""P""),"" "&amp;"Purple"",""""))")," Green")</f>
        <v>Green</v>
      </c>
      <c r="U223" s="4" t="str">
        <f>IFERROR(__xludf.DUMMYFUNCTION("TRIM(CONCAT(""[right]"", REGEXREPLACE(C223, ""([ROYGBPXZC_]|1?[0-9])"", ""[img=119]res://textures/icons/$0.png[/img]\\n"")))"),"[right][img=119]res://textures/icons/G.png[/img]\n[img=119]res://textures/icons/G.png[/img]\n")</f>
        <v>[right][img=119]res://textures/icons/G.png[/img]\n[img=119]res://textures/icons/G.png[/img]\n</v>
      </c>
      <c r="V223" s="4" t="str">
        <f>IFERROR(__xludf.DUMMYFUNCTION("SUBSTITUTE(SUBSTITUTE(SUBSTITUTE(SUBSTITUTE(REGEXREPLACE(SUBSTITUTE(SUBSTITUTE(SUBSTITUTE(SUBSTITUTE(REGEXREPLACE(I223, ""(\[([ROYGBPTQUXZC_]|1?[0-9])\])"", ""[img=45]res://textures/icons/$2.png[/img]""),""--"",""—""),""-&gt;"",""•""),""~@"", CONCATENATE(""["&amp;"i]"",REGEXEXTRACT(B223,""^([\s\S]*),|$""),""[/i]"")),""~"", CONCATENATE(""[i]"",B223,""[/i]"")),""(\([\s\S]*?\))"",""[i][color=#34343A]$0[/color][/i]""), ""&lt;"", ""[""), ""&gt;"", ""]""), ""[/p][p]"", ""[font_size=15]\n\n[/font_size]""), ""[br/]"", ""\n"")"),"[center][u]Armed — 'Ballistic Pistol'[/u] [i][color=#34343A]([i]Squirrel with a Gun[/i] enters the battlefield with a transient [i]'Ballistic Pistol'[/i] attached to it.)[/color][/i][/center]")</f>
        <v xml:space="preserve">[center][u]Armed — 'Ballistic Pistol'[/u] [i][color=#34343A]([i]Squirrel with a Gun[/i] enters the battlefield with a transient [i]'Ballistic Pistol'[/i] attached to it.)[/color][/i][/center]</v>
      </c>
      <c r="W223" s="4" t="str">
        <f t="shared" si="12"/>
        <v>[i]Asset[/i]</v>
      </c>
      <c r="X223" s="4" t="str">
        <f t="shared" si="13"/>
        <v>RT_GC_023</v>
      </c>
    </row>
    <row r="224" outlineLevel="1">
      <c r="A224" s="1" t="s">
        <v>879</v>
      </c>
      <c r="B224" s="1" t="str">
        <f t="shared" si="14"/>
        <v>GC_024</v>
      </c>
      <c r="C224" s="2"/>
      <c r="D224" s="6" t="str">
        <f>IFERROR(__xludf.DUMMYFUNCTION("IF(EQ(A224,B224),"""",SWITCH(IF(T224="""",0,COUNTA(SPLIT(T224,"" ""))),0,""Generic"",1,TRIM(T224),2,""Multicolor"",3,""Multicolor"",4,""Multicolor"",5,""Multicolor"",6,""Multicolor"",7,""Multicolor"",8,""Multicolor""))"),"")</f>
        <v/>
      </c>
      <c r="E224" s="1"/>
      <c r="F224" s="1"/>
      <c r="H224" s="2"/>
      <c r="I224" s="3"/>
      <c r="J224" s="3"/>
      <c r="O224" s="3"/>
      <c r="Q224" s="1">
        <v>60</v>
      </c>
      <c r="R224" s="1">
        <v>50</v>
      </c>
      <c r="S224" s="4" t="str">
        <f t="shared" si="11"/>
        <v>False</v>
      </c>
      <c r="T224" s="4" t="str">
        <f>IFERROR(__xludf.DUMMYFUNCTION("CONCATENATE(if(REGEXMATCH(C224,""R""),"" Red"",""""),if(REGEXMATCH(C224,""O""),"" Orange"",""""),if(REGEXMATCH(C224,""Y""),"" Yellow"",""""),if(REGEXMATCH(C224,""G""),"" Green"",""""),if(REGEXMATCH(C224,""B""),"" Blue"",""""),if(REGEXMATCH(C224,""P""),"" "&amp;"Purple"",""""))"),"")</f>
        <v/>
      </c>
      <c r="U224" s="4" t="str">
        <f>IFERROR(__xludf.DUMMYFUNCTION("TRIM(CONCAT(""[right]"", REGEXREPLACE(C224, ""([ROYGBPXZC_]|1?[0-9])"", ""[img=119]res://textures/icons/$0.png[/img]\\n"")))"),"[right]")</f>
        <v>[right]</v>
      </c>
      <c r="V224" s="4" t="str">
        <f>IFERROR(__xludf.DUMMYFUNCTION("SUBSTITUTE(SUBSTITUTE(SUBSTITUTE(SUBSTITUTE(REGEXREPLACE(SUBSTITUTE(SUBSTITUTE(SUBSTITUTE(SUBSTITUTE(REGEXREPLACE(I224, ""(\[([ROYGBPTQUXZC_]|1?[0-9])\])"", ""[img=45]res://textures/icons/$2.png[/img]""),""--"",""—""),""-&gt;"",""•""),""~@"", CONCATENATE(""["&amp;"i]"",REGEXEXTRACT(B224,""^([\s\S]*),|$""),""[/i]"")),""~"", CONCATENATE(""[i]"",B224,""[/i]"")),""(\([\s\S]*?\))"",""[i][color=#34343A]$0[/color][/i]""), ""&lt;"", ""[""), ""&gt;"", ""]""), ""[/p][p]"", ""[font_size=15]\n\n[/font_size]""), ""[br/]"", ""\n"")"),"")</f>
        <v/>
      </c>
      <c r="W224" s="4" t="str">
        <f t="shared" si="12"/>
        <v>[i][/i]</v>
      </c>
      <c r="X224" s="4" t="str">
        <f t="shared" si="13"/>
        <v>0</v>
      </c>
    </row>
    <row r="225" outlineLevel="1">
      <c r="A225" s="9" t="s">
        <v>880</v>
      </c>
      <c r="B225" s="1" t="s">
        <v>881</v>
      </c>
      <c r="C225" s="2" t="s">
        <v>882</v>
      </c>
      <c r="D225" s="6" t="str">
        <f>IFERROR(__xludf.DUMMYFUNCTION("IF(EQ(A225,B225),"""",SWITCH(IF(T225="""",0,COUNTA(SPLIT(T225,"" ""))),0,""Generic"",1,TRIM(T225),2,""Multicolor"",3,""Multicolor"",4,""Multicolor"",5,""Multicolor"",6,""Multicolor"",7,""Multicolor"",8,""Multicolor""))"),"Blue")</f>
        <v>Blue</v>
      </c>
      <c r="E225" s="1"/>
      <c r="F225" s="1" t="s">
        <v>73</v>
      </c>
      <c r="G225" s="1" t="s">
        <v>883</v>
      </c>
      <c r="H225" s="2" t="s">
        <v>81</v>
      </c>
      <c r="I225" s="3" t="s">
        <v>884</v>
      </c>
      <c r="J225" s="3" t="s">
        <v>885</v>
      </c>
      <c r="O225" s="3"/>
      <c r="Q225" s="1">
        <v>45</v>
      </c>
      <c r="R225" s="1">
        <v>50</v>
      </c>
      <c r="S225" s="4" t="str">
        <f t="shared" si="11"/>
        <v>False</v>
      </c>
      <c r="T225" s="4" t="str">
        <f>IFERROR(__xludf.DUMMYFUNCTION("CONCATENATE(if(REGEXMATCH(C225,""R""),"" Red"",""""),if(REGEXMATCH(C225,""O""),"" Orange"",""""),if(REGEXMATCH(C225,""Y""),"" Yellow"",""""),if(REGEXMATCH(C225,""G""),"" Green"",""""),if(REGEXMATCH(C225,""B""),"" Blue"",""""),if(REGEXMATCH(C225,""P""),"" "&amp;"Purple"",""""))")," Blue")</f>
        <v>Blue</v>
      </c>
      <c r="U225" s="4" t="str">
        <f>IFERROR(__xludf.DUMMYFUNCTION("TRIM(CONCAT(""[right]"", REGEXREPLACE(C225, ""([ROYGBPXZC_]|1?[0-9])"", ""[img=119]res://textures/icons/$0.png[/img]\\n"")))"),"[right][img=119]res://textures/icons/3.png[/img]\n[img=119]res://textures/icons/B.png[/img]\n[img=119]res://textures/icons/B.png[/img]\n")</f>
        <v>[right][img=119]res://textures/icons/3.png[/img]\n[img=119]res://textures/icons/B.png[/img]\n[img=119]res://textures/icons/B.png[/img]\n</v>
      </c>
      <c r="V225" s="4" t="str">
        <f>IFERROR(__xludf.DUMMYFUNCTION("SUBSTITUTE(SUBSTITUTE(SUBSTITUTE(SUBSTITUTE(REGEXREPLACE(SUBSTITUTE(SUBSTITUTE(SUBSTITUTE(SUBSTITUTE(REGEXREPLACE(I225, ""(\[([ROYGBPTQUXZC_]|1?[0-9])\])"", ""[img=45]res://textures/icons/$2.png[/img]""),""--"",""—""),""-&gt;"",""•""),""~@"", CONCATENATE(""["&amp;"i]"",REGEXEXTRACT(B225,""^([\s\S]*),|$""),""[/i]"")),""~"", CONCATENATE(""[i]"",B225,""[/i]"")),""(\([\s\S]*?\))"",""[i][color=#34343A]$0[/color][/i]""), ""&lt;"", ""[""), ""&gt;"", ""]""), ""[/p][p]"", ""[font_size=15]\n\n[/font_size]""), ""[br/]"", ""\n"")"),"[p][center][b][i]A.L.I.V.E[/i] isn't renowned.[/b][/center][font_size=15]\n\n[/font_size][b][i]As Commander[/i] —[/b] At the beginning of each turn, [i]A.L.I.V.E[/i] gains 1 loyalty.[font_size=15]\n\n[/font_size][b][i]As Asset[/i] —[/b] Each time your com"&amp;"mander loses [u]X[/u] [i][color=#34343A](X is 1/5 your commander's starting loyalty)[/color][/i] loyalty, create an [i]'Emergency Defibrillator'[/i] in your hand. If [i]A.L.I.V.E[/i] is inside a vehicle, instead create an [i]'Emergency Defibrillator'[/i] "&amp;"whenever your commander loses loyalty.[/p]")</f>
        <v xml:space="preserve">[p][center][b][i]A.L.I.V.E[/i] isn't renowned.[/b][/center][font_size=15]\n\n[/font_size][b][i]As Commander[/i] —[/b] At the beginning of each turn, [i]A.L.I.V.E[/i] gains 1 loyalty.[font_size=15]\n\n[/font_size][b][i]As Asset[/i] —[/b] Each time your commander loses [u]X[/u] [i][color=#34343A](X is 1/5 your commander's starting loyalty)[/color][/i] loyalty, create an [i]'Emergency Defibrillator'[/i] in your hand. If [i]A.L.I.V.E[/i] is inside a vehicle, instead create an [i]'Emergency Defibrillator'[/i] whenever your commander loses loyalty.[/p]</v>
      </c>
      <c r="W225" s="4" t="str">
        <f t="shared" si="12"/>
        <v>[i]Commander[/i]</v>
      </c>
      <c r="X225" s="4" t="str">
        <f t="shared" si="13"/>
        <v>RT_B_CMDR_1</v>
      </c>
    </row>
    <row r="226" outlineLevel="1">
      <c r="A226" s="1" t="s">
        <v>886</v>
      </c>
      <c r="B226" s="1" t="s">
        <v>887</v>
      </c>
      <c r="C226" s="2" t="s">
        <v>888</v>
      </c>
      <c r="D226" s="6" t="str">
        <f>IFERROR(__xludf.DUMMYFUNCTION("IF(EQ(A226,B226),"""",SWITCH(IF(T226="""",0,COUNTA(SPLIT(T226,"" ""))),0,""Generic"",1,TRIM(T226),2,""Multicolor"",3,""Multicolor"",4,""Multicolor"",5,""Multicolor"",6,""Multicolor"",7,""Multicolor"",8,""Multicolor""))"),"Blue")</f>
        <v>Blue</v>
      </c>
      <c r="E226" s="1" t="s">
        <v>802</v>
      </c>
      <c r="F226" s="1" t="s">
        <v>94</v>
      </c>
      <c r="G226" s="1" t="s">
        <v>889</v>
      </c>
      <c r="H226" s="2" t="s">
        <v>81</v>
      </c>
      <c r="I226" s="3" t="s">
        <v>890</v>
      </c>
      <c r="K226" s="3" t="s">
        <v>629</v>
      </c>
      <c r="L226" s="1">
        <v>10</v>
      </c>
      <c r="O226" s="3"/>
      <c r="Q226" s="1">
        <v>45</v>
      </c>
      <c r="R226" s="1">
        <v>35</v>
      </c>
      <c r="S226" s="4" t="str">
        <f t="shared" si="11"/>
        <v>True</v>
      </c>
      <c r="T226" s="4" t="str">
        <f>IFERROR(__xludf.DUMMYFUNCTION("CONCATENATE(if(REGEXMATCH(C226,""R""),"" Red"",""""),if(REGEXMATCH(C226,""O""),"" Orange"",""""),if(REGEXMATCH(C226,""Y""),"" Yellow"",""""),if(REGEXMATCH(C226,""G""),"" Green"",""""),if(REGEXMATCH(C226,""B""),"" Blue"",""""),if(REGEXMATCH(C226,""P""),"" "&amp;"Purple"",""""))")," Blue")</f>
        <v>Blue</v>
      </c>
      <c r="U226" s="4" t="str">
        <f>IFERROR(__xludf.DUMMYFUNCTION("TRIM(CONCAT(""[right]"", REGEXREPLACE(C226, ""([ROYGBPXZC_]|1?[0-9])"", ""[img=119]res://textures/icons/$0.png[/img]\\n"")))"),"[right][img=119]res://textures/icons/2.png[/img]\n[img=119]res://textures/icons/B.png[/img]\n[img=119]res://textures/icons/B.png[/img]\n[img=119]res://textures/icons/B.png[/img]\n")</f>
        <v>[right][img=119]res://textures/icons/2.png[/img]\n[img=119]res://textures/icons/B.png[/img]\n[img=119]res://textures/icons/B.png[/img]\n[img=119]res://textures/icons/B.png[/img]\n</v>
      </c>
      <c r="V226" s="4" t="str">
        <f>IFERROR(__xludf.DUMMYFUNCTION("SUBSTITUTE(SUBSTITUTE(SUBSTITUTE(SUBSTITUTE(REGEXREPLACE(SUBSTITUTE(SUBSTITUTE(SUBSTITUTE(SUBSTITUTE(REGEXREPLACE(I226, ""(\[([ROYGBPTQUXZC_]|1?[0-9])\])"", ""[img=45]res://textures/icons/$2.png[/img]""),""--"",""—""),""-&gt;"",""•""),""~@"", CONCATENATE(""["&amp;"i]"",REGEXEXTRACT(B226,""^([\s\S]*),|$""),""[/i]"")),""~"", CONCATENATE(""[i]"",B226,""[/i]"")),""(\([\s\S]*?\))"",""[i][color=#34343A]$0[/color][/i]""), ""&lt;"", ""[""), ""&gt;"", ""]""), ""[/p][p]"", ""[font_size=15]\n\n[/font_size]""), ""[br/]"", ""\n"")"),"[center][i][color=#34343A](Becomes [i]'Shawn's Moral'[/i] if you already control [i]Shawn Bright, Anti-Riot Bulwark[/i].)[/color][/i]\n[u]Formation - Attack Front 2, Back 0[/u][/center][p]When [i]Shawn Bright[/i] attacks, until end of turn, all other asse"&amp;"ts you control gain [u]shield[/u] [i][color=#34343A](Prevent the next instance of damage the specified assets would receive. Once damage has been prevented this way, the specified asset loses Shield.)[/color][/i][/p]")</f>
        <v xml:space="preserve">[center][i][color=#34343A](Becomes [i]'Shawn's Moral'[/i] if you already control [i]Shawn Bright, Anti-Riot Bulwark[/i].)[/color][/i]\n[u]Formation - Attack Front 2, Back 0[/u][/center][p]When [i]Shawn Bright[/i] attacks, until end of turn, all other assets you control gain [u]shield[/u] [i][color=#34343A](Prevent the next instance of damage the specified assets would receive. Once damage has been prevented this way, the specified asset loses Shield.)[/color][/i][/p]</v>
      </c>
      <c r="W226" s="4" t="str">
        <f t="shared" si="12"/>
        <v xml:space="preserve">[i]R. Asset[/i]</v>
      </c>
      <c r="X226" s="4" t="str">
        <f t="shared" si="13"/>
        <v>RT_BR_001</v>
      </c>
    </row>
    <row r="227" outlineLevel="1">
      <c r="A227" s="1" t="s">
        <v>891</v>
      </c>
      <c r="B227" s="4" t="s">
        <v>892</v>
      </c>
      <c r="C227" s="5" t="s">
        <v>893</v>
      </c>
      <c r="D227" s="6" t="str">
        <f>IFERROR(__xludf.DUMMYFUNCTION("IF(EQ(A227,B227),"""",SWITCH(IF(T227="""",0,COUNTA(SPLIT(T227,"" ""))),0,""Generic"",1,TRIM(T227),2,""Multicolor"",3,""Multicolor"",4,""Multicolor"",5,""Multicolor"",6,""Multicolor"",7,""Multicolor"",8,""Multicolor""))"),"Blue")</f>
        <v>Blue</v>
      </c>
      <c r="E227" s="4"/>
      <c r="F227" s="4" t="s">
        <v>87</v>
      </c>
      <c r="G227" s="4" t="s">
        <v>894</v>
      </c>
      <c r="H227" s="5" t="s">
        <v>25</v>
      </c>
      <c r="I227" s="3" t="s">
        <v>895</v>
      </c>
      <c r="J227" s="3"/>
      <c r="K227" s="1"/>
      <c r="L227" s="1"/>
      <c r="O227" s="3"/>
      <c r="Q227" s="1">
        <v>60</v>
      </c>
      <c r="R227" s="1">
        <v>50</v>
      </c>
      <c r="S227" s="4" t="str">
        <f t="shared" si="11"/>
        <v>False</v>
      </c>
      <c r="T227" s="4" t="str">
        <f>IFERROR(__xludf.DUMMYFUNCTION("CONCATENATE(if(REGEXMATCH(C227,""R""),"" Red"",""""),if(REGEXMATCH(C227,""O""),"" Orange"",""""),if(REGEXMATCH(C227,""Y""),"" Yellow"",""""),if(REGEXMATCH(C227,""G""),"" Green"",""""),if(REGEXMATCH(C227,""B""),"" Blue"",""""),if(REGEXMATCH(C227,""P""),"" "&amp;"Purple"",""""))")," Blue")</f>
        <v>Blue</v>
      </c>
      <c r="U227" s="4" t="str">
        <f>IFERROR(__xludf.DUMMYFUNCTION("TRIM(CONCAT(""[right]"", REGEXREPLACE(C227, ""([ROYGBPXZC_]|1?[0-9])"", ""[img=119]res://textures/icons/$0.png[/img]\\n"")))"),"[right][img=119]res://textures/icons/1.png[/img]\n[img=119]res://textures/icons/B.png[/img]\n[img=119]res://textures/icons/B.png[/img]\n")</f>
        <v>[right][img=119]res://textures/icons/1.png[/img]\n[img=119]res://textures/icons/B.png[/img]\n[img=119]res://textures/icons/B.png[/img]\n</v>
      </c>
      <c r="V227" s="4" t="str">
        <f>IFERROR(__xludf.DUMMYFUNCTION("SUBSTITUTE(SUBSTITUTE(SUBSTITUTE(SUBSTITUTE(REGEXREPLACE(SUBSTITUTE(SUBSTITUTE(SUBSTITUTE(SUBSTITUTE(REGEXREPLACE(I227, ""(\[([ROYGBPTQUXZC_]|1?[0-9])\])"", ""[img=45]res://textures/icons/$2.png[/img]""),""--"",""—""),""-&gt;"",""•""),""~@"", CONCATENATE(""["&amp;"i]"",REGEXEXTRACT(B227,""^([\s\S]*),|$""),""[/i]"")),""~"", CONCATENATE(""[i]"",B227,""[/i]"")),""(\([\s\S]*?\))"",""[i][color=#34343A]$0[/color][/i]""), ""&lt;"", ""[""), ""&gt;"", ""]""), ""[/p][p]"", ""[font_size=15]\n\n[/font_size]""), ""[br/]"", ""\n"")"),"[center][i][color=#34343A](This effect can only be deployed if you control a renowned asset. Banked energy can't be spent to deploy renowned cards.)[/color][/i][/center][p]All Police combatants everywhere permanently gain +1/+1.[font_size=15]\n\n[/font_si"&amp;"ze][u]Personal[/u] [i][color=#34343A](Shuffle [i]'Shawn Bright, Anti-Riot Bulwark'[/i] into your deck.)[/color][/i][/p]")</f>
        <v xml:space="preserve">[center][i][color=#34343A](This effect can only be deployed if you control a renowned asset. Banked energy can't be spent to deploy renowned cards.)[/color][/i][/center][p]All Police combatants everywhere permanently gain +1/+1.[font_size=15]\n\n[/font_size][u]Personal[/u] [i][color=#34343A](Shuffle [i]'Shawn Bright, Anti-Riot Bulwark'[/i] into your deck.)[/color][/i][/p]</v>
      </c>
      <c r="W227" s="4" t="str">
        <f t="shared" si="12"/>
        <v xml:space="preserve">[i]R. Effect[/i]</v>
      </c>
      <c r="X227" s="4" t="str">
        <f t="shared" si="13"/>
        <v>RT_BR_001b</v>
      </c>
    </row>
    <row r="228" outlineLevel="1">
      <c r="A228" s="1" t="s">
        <v>896</v>
      </c>
      <c r="B228" s="1" t="s">
        <v>897</v>
      </c>
      <c r="C228" s="2" t="s">
        <v>898</v>
      </c>
      <c r="D228" s="6" t="str">
        <f>IFERROR(__xludf.DUMMYFUNCTION("IF(EQ(A228,B228),"""",SWITCH(IF(T228="""",0,COUNTA(SPLIT(T228,"" ""))),0,""Generic"",1,TRIM(T228),2,""Multicolor"",3,""Multicolor"",4,""Multicolor"",5,""Multicolor"",6,""Multicolor"",7,""Multicolor"",8,""Multicolor""))"),"Blue")</f>
        <v>Blue</v>
      </c>
      <c r="E228" s="1" t="s">
        <v>802</v>
      </c>
      <c r="F228" s="1" t="s">
        <v>26</v>
      </c>
      <c r="G228" s="1" t="s">
        <v>899</v>
      </c>
      <c r="H228" s="2" t="s">
        <v>81</v>
      </c>
      <c r="I228" s="10" t="s">
        <v>900</v>
      </c>
      <c r="J228" s="3"/>
      <c r="K228" s="1">
        <v>5</v>
      </c>
      <c r="L228" s="1">
        <v>5</v>
      </c>
      <c r="O228" s="3"/>
      <c r="Q228" s="1">
        <v>60</v>
      </c>
      <c r="R228" s="1">
        <v>35</v>
      </c>
      <c r="S228" s="4" t="str">
        <f t="shared" si="11"/>
        <v>True</v>
      </c>
      <c r="T228" s="4" t="str">
        <f>IFERROR(__xludf.DUMMYFUNCTION("CONCATENATE(if(REGEXMATCH(C228,""R""),"" Red"",""""),if(REGEXMATCH(C228,""O""),"" Orange"",""""),if(REGEXMATCH(C228,""Y""),"" Yellow"",""""),if(REGEXMATCH(C228,""G""),"" Green"",""""),if(REGEXMATCH(C228,""B""),"" Blue"",""""),if(REGEXMATCH(C228,""P""),"" "&amp;"Purple"",""""))")," Blue")</f>
        <v>Blue</v>
      </c>
      <c r="U228" s="4" t="str">
        <f>IFERROR(__xludf.DUMMYFUNCTION("TRIM(CONCAT(""[right]"", REGEXREPLACE(C228, ""([ROYGBPXZC_]|1?[0-9])"", ""[img=119]res://textures/icons/$0.png[/img]\\n"")))"),"[right][img=119]res://textures/icons/2.png[/img]\n[img=119]res://textures/icons/B.png[/img]\n[img=119]res://textures/icons/B.png[/img]\n")</f>
        <v>[right][img=119]res://textures/icons/2.png[/img]\n[img=119]res://textures/icons/B.png[/img]\n[img=119]res://textures/icons/B.png[/img]\n</v>
      </c>
      <c r="V228" s="4" t="str">
        <f>IFERROR(__xludf.DUMMYFUNCTION("SUBSTITUTE(SUBSTITUTE(SUBSTITUTE(SUBSTITUTE(REGEXREPLACE(SUBSTITUTE(SUBSTITUTE(SUBSTITUTE(SUBSTITUTE(REGEXREPLACE(I228, ""(\[([ROYGBPTQUXZC_]|1?[0-9])\])"", ""[img=45]res://textures/icons/$2.png[/img]""),""--"",""—""),""-&gt;"",""•""),""~@"", CONCATENATE(""["&amp;"i]"",REGEXEXTRACT(B228,""^([\s\S]*),|$""),""[/i]"")),""~"", CONCATENATE(""[i]"",B228,""[/i]"")),""(\([\s\S]*?\))"",""[i][color=#34343A]$0[/color][/i]""), ""&lt;"", ""[""), ""&gt;"", ""]""), ""[/p][p]"", ""[font_size=15]\n\n[/font_size]""), ""[br/]"", ""\n"")"),"[center][u]Formation[/u][/center][p]Police assets you control have your choice of +2/+0 or +0/+2 [i][color=#34343A](you choose as [i]Inspiring Sergeant[/i] enters the battlefield.)[/color][/i][/p]")</f>
        <v xml:space="preserve">[center][u]Formation[/u][/center][p]Police assets you control have your choice of +2/+0 or +0/+2 [i][color=#34343A](you choose as [i]Inspiring Sergeant[/i] enters the battlefield.)[/color][/i][/p]</v>
      </c>
      <c r="W228" s="4" t="str">
        <f t="shared" si="12"/>
        <v>[i]Asset[/i]</v>
      </c>
      <c r="X228" s="4" t="str">
        <f t="shared" si="13"/>
        <v>RT_BR_002</v>
      </c>
    </row>
    <row r="229" outlineLevel="1">
      <c r="A229" s="1" t="s">
        <v>901</v>
      </c>
      <c r="B229" s="4" t="s">
        <v>902</v>
      </c>
      <c r="C229" s="5" t="s">
        <v>903</v>
      </c>
      <c r="D229" s="6" t="str">
        <f>IFERROR(__xludf.DUMMYFUNCTION("IF(EQ(A229,B229),"""",SWITCH(IF(T229="""",0,COUNTA(SPLIT(T229,"" ""))),0,""Generic"",1,TRIM(T229),2,""Multicolor"",3,""Multicolor"",4,""Multicolor"",5,""Multicolor"",6,""Multicolor"",7,""Multicolor"",8,""Multicolor""))"),"Blue")</f>
        <v>Blue</v>
      </c>
      <c r="E229" s="4"/>
      <c r="F229" s="4" t="s">
        <v>33</v>
      </c>
      <c r="G229" s="4"/>
      <c r="H229" s="5" t="s">
        <v>81</v>
      </c>
      <c r="I229" s="3" t="s">
        <v>904</v>
      </c>
      <c r="J229" s="3"/>
      <c r="O229" s="3"/>
      <c r="Q229" s="1">
        <v>60</v>
      </c>
      <c r="R229" s="1">
        <v>50</v>
      </c>
      <c r="S229" s="4" t="str">
        <f t="shared" si="11"/>
        <v>False</v>
      </c>
      <c r="T229" s="4" t="str">
        <f>IFERROR(__xludf.DUMMYFUNCTION("CONCATENATE(if(REGEXMATCH(C229,""R""),"" Red"",""""),if(REGEXMATCH(C229,""O""),"" Orange"",""""),if(REGEXMATCH(C229,""Y""),"" Yellow"",""""),if(REGEXMATCH(C229,""G""),"" Green"",""""),if(REGEXMATCH(C229,""B""),"" Blue"",""""),if(REGEXMATCH(C229,""P""),"" "&amp;"Purple"",""""))")," Blue")</f>
        <v>Blue</v>
      </c>
      <c r="U229" s="4" t="str">
        <f>IFERROR(__xludf.DUMMYFUNCTION("TRIM(CONCAT(""[right]"", REGEXREPLACE(C229, ""([ROYGBPXZC_]|1?[0-9])"", ""[img=119]res://textures/icons/$0.png[/img]\\n"")))"),"[right][img=119]res://textures/icons/2.png[/img]\n[img=119]res://textures/icons/B.png[/img]\n")</f>
        <v>[right][img=119]res://textures/icons/2.png[/img]\n[img=119]res://textures/icons/B.png[/img]\n</v>
      </c>
      <c r="V229" s="4" t="str">
        <f>IFERROR(__xludf.DUMMYFUNCTION("SUBSTITUTE(SUBSTITUTE(SUBSTITUTE(SUBSTITUTE(REGEXREPLACE(SUBSTITUTE(SUBSTITUTE(SUBSTITUTE(SUBSTITUTE(REGEXREPLACE(I229, ""(\[([ROYGBPTQUXZC_]|1?[0-9])\])"", ""[img=45]res://textures/icons/$2.png[/img]""),""--"",""—""),""-&gt;"",""•""),""~@"", CONCATENATE(""["&amp;"i]"",REGEXEXTRACT(B229,""^([\s\S]*),|$""),""[/i]"")),""~"", CONCATENATE(""[i]"",B229,""[/i]"")),""(\([\s\S]*?\))"",""[i][color=#34343A]$0[/color][/i]""), ""&lt;"", ""[""), ""&gt;"", ""]""), ""[/p][p]"", ""[font_size=15]\n\n[/font_size]""), ""[br/]"", ""\n"")"),"[center][u]Append to Effect [img=45]res://textures/icons/4.png[/img][img=45]res://textures/icons/B.png[/img][/u] [i][color=#34343A](As you deploy an Effect you may reveal [i]Moral[/i] and pay [img=45]res://textures/icons/4.png[/img][img=45]res://textures/"&amp;"icons/B.png[/img]. If you do add this card's effects as it resolves; it loses those effects once it leaves the stack.)[/color][/i][/center][p]All combatants of a subtype of your choice on the battlefield, permanently gain +1/+1.[/p]")</f>
        <v xml:space="preserve">[center][u]Append to Effect [img=45]res://textures/icons/4.png[/img][img=45]res://textures/icons/B.png[/img][/u] [i][color=#34343A](As you deploy an Effect you may reveal [i]Moral[/i] and pay [img=45]res://textures/icons/4.png[/img][img=45]res://textures/icons/B.png[/img]. If you do add this card's effects as it resolves; it loses those effects once it leaves the stack.)[/color][/i][/center][p]All combatants of a subtype of your choice on the battlefield, permanently gain +1/+1.[/p]</v>
      </c>
      <c r="W229" s="4" t="str">
        <f t="shared" si="12"/>
        <v>[i]Effect[/i]</v>
      </c>
      <c r="X229" s="4" t="str">
        <f t="shared" si="13"/>
        <v>RT_BR_003</v>
      </c>
      <c r="Y229" s="4"/>
      <c r="Z229" s="4"/>
      <c r="AA229" s="4"/>
      <c r="AB229" s="4"/>
    </row>
    <row r="230" outlineLevel="1">
      <c r="A230" s="1" t="s">
        <v>905</v>
      </c>
      <c r="B230" s="4" t="s">
        <v>906</v>
      </c>
      <c r="C230" s="5" t="s">
        <v>898</v>
      </c>
      <c r="D230" s="6" t="str">
        <f>IFERROR(__xludf.DUMMYFUNCTION("IF(ISBLANK(A236),"""",SWITCH(IF(T236="""",0,COUNTA(SPLIT(T236,"" ""))),0,""Generic"",1,TRIM(T236),2,""Multicolor"",3,""Multicolor"",4,""Multicolor"",5,""Multicolor"",6,""Multicolor"",7,""Multicolor"",8,""Multicolor""))"),"Blue")</f>
        <v>Blue</v>
      </c>
      <c r="E230" s="4"/>
      <c r="F230" s="4" t="s">
        <v>26</v>
      </c>
      <c r="G230" s="4" t="s">
        <v>215</v>
      </c>
      <c r="H230" s="5" t="s">
        <v>81</v>
      </c>
      <c r="I230" s="10" t="s">
        <v>907</v>
      </c>
      <c r="J230" s="3"/>
      <c r="O230" s="3"/>
      <c r="Q230" s="1">
        <v>50</v>
      </c>
      <c r="R230" s="1">
        <v>50</v>
      </c>
      <c r="S230" s="4" t="str">
        <f t="shared" si="11"/>
        <v>False</v>
      </c>
      <c r="T230" s="4" t="str">
        <f>IFERROR(__xludf.DUMMYFUNCTION("CONCATENATE(if(REGEXMATCH(C230,""R""),"" Red"",""""),if(REGEXMATCH(C230,""O""),"" Orange"",""""),if(REGEXMATCH(C230,""Y""),"" Yellow"",""""),if(REGEXMATCH(C230,""G""),"" Green"",""""),if(REGEXMATCH(C230,""B""),"" Blue"",""""),if(REGEXMATCH(C230,""P""),"" "&amp;"Purple"",""""))")," Blue")</f>
        <v>Blue</v>
      </c>
      <c r="U230" s="4" t="str">
        <f>IFERROR(__xludf.DUMMYFUNCTION("TRIM(CONCAT(""[right]"", REGEXREPLACE(C230, ""([ROYGBPXZC_]|1?[0-9])"", ""[img=119]res://textures/icons/$0.png[/img]\\n"")))"),"[right][img=119]res://textures/icons/2.png[/img]\n[img=119]res://textures/icons/B.png[/img]\n[img=119]res://textures/icons/B.png[/img]\n")</f>
        <v>[right][img=119]res://textures/icons/2.png[/img]\n[img=119]res://textures/icons/B.png[/img]\n[img=119]res://textures/icons/B.png[/img]\n</v>
      </c>
      <c r="V230" s="4" t="str">
        <f>IFERROR(__xludf.DUMMYFUNCTION("SUBSTITUTE(SUBSTITUTE(SUBSTITUTE(SUBSTITUTE(REGEXREPLACE(SUBSTITUTE(SUBSTITUTE(SUBSTITUTE(SUBSTITUTE(REGEXREPLACE(I230, ""(\[([ROYGBPTQUXZC_]|1?[0-9])\])"", ""[img=45]res://textures/icons/$2.png[/img]""),""--"",""—""),""-&gt;"",""•""),""~@"", CONCATENATE(""["&amp;"i]"",REGEXEXTRACT(B230,""^([\s\S]*),|$""),""[/i]"")),""~"", CONCATENATE(""[i]"",B230,""[/i]"")),""(\([\s\S]*?\))"",""[i][color=#34343A]$0[/color][/i]""), ""&lt;"", ""[""), ""&gt;"", ""]""), ""[/p][p]"", ""[font_size=15]\n\n[/font_size]""), ""[br/]"", ""\n"")"),"[p]Choose an asset; set it aside until [i]Solitary Confinement[/i] leaves the battlefield.[font_size=15]\n\n[/font_size]Players can't deploy card with the same name as the card under [i]Solitary Confinement[/i].[/p]")</f>
        <v xml:space="preserve">[p]Choose an asset; set it aside until [i]Solitary Confinement[/i] leaves the battlefield.[font_size=15]\n\n[/font_size]Players can't deploy card with the same name as the card under [i]Solitary Confinement[/i].[/p]</v>
      </c>
      <c r="W230" s="4" t="str">
        <f t="shared" si="12"/>
        <v>[i]Asset[/i]</v>
      </c>
      <c r="X230" s="4" t="str">
        <f t="shared" si="13"/>
        <v>RT_BR_004</v>
      </c>
    </row>
    <row r="231" outlineLevel="1">
      <c r="A231" s="1" t="s">
        <v>908</v>
      </c>
      <c r="B231" s="1" t="s">
        <v>909</v>
      </c>
      <c r="C231" s="2" t="s">
        <v>910</v>
      </c>
      <c r="D231" s="6" t="str">
        <f>IFERROR(__xludf.DUMMYFUNCTION("IF(EQ(A231,B231),"""",SWITCH(IF(T231="""",0,COUNTA(SPLIT(T231,"" ""))),0,""Generic"",1,TRIM(T231),2,""Multicolor"",3,""Multicolor"",4,""Multicolor"",5,""Multicolor"",6,""Multicolor"",7,""Multicolor"",8,""Multicolor""))"),"Blue")</f>
        <v>Blue</v>
      </c>
      <c r="E231" s="1" t="s">
        <v>51</v>
      </c>
      <c r="F231" s="1" t="s">
        <v>26</v>
      </c>
      <c r="G231" s="1" t="s">
        <v>911</v>
      </c>
      <c r="H231" s="2" t="s">
        <v>119</v>
      </c>
      <c r="I231" s="7" t="s">
        <v>912</v>
      </c>
      <c r="J231" s="3"/>
      <c r="K231" s="1">
        <v>7</v>
      </c>
      <c r="L231" s="1">
        <v>7</v>
      </c>
      <c r="O231" s="3"/>
      <c r="Q231" s="1">
        <v>60</v>
      </c>
      <c r="R231" s="1">
        <v>45</v>
      </c>
      <c r="S231" s="4" t="str">
        <f t="shared" si="11"/>
        <v>True</v>
      </c>
      <c r="T231" s="4" t="str">
        <f>IFERROR(__xludf.DUMMYFUNCTION("CONCATENATE(if(REGEXMATCH(C231,""R""),"" Red"",""""),if(REGEXMATCH(C231,""O""),"" Orange"",""""),if(REGEXMATCH(C231,""Y""),"" Yellow"",""""),if(REGEXMATCH(C231,""G""),"" Green"",""""),if(REGEXMATCH(C231,""B""),"" Blue"",""""),if(REGEXMATCH(C231,""P""),"" "&amp;"Purple"",""""))")," Blue")</f>
        <v>Blue</v>
      </c>
      <c r="U231" s="4" t="str">
        <f>IFERROR(__xludf.DUMMYFUNCTION("TRIM(CONCAT(""[right]"", REGEXREPLACE(C231, ""([ROYGBPXZC_]|1?[0-9])"", ""[img=119]res://textures/icons/$0.png[/img]\\n"")))"),"[right][img=119]res://textures/icons/3.png[/img]\n[img=119]res://textures/icons/B.png[/img]\n")</f>
        <v>[right][img=119]res://textures/icons/3.png[/img]\n[img=119]res://textures/icons/B.png[/img]\n</v>
      </c>
      <c r="V231" s="4" t="str">
        <f>IFERROR(__xludf.DUMMYFUNCTION("SUBSTITUTE(SUBSTITUTE(SUBSTITUTE(SUBSTITUTE(REGEXREPLACE(SUBSTITUTE(SUBSTITUTE(SUBSTITUTE(SUBSTITUTE(REGEXREPLACE(I231, ""(\[([ROYGBPTQUXZC_]|1?[0-9])\])"", ""[img=45]res://textures/icons/$2.png[/img]""),""--"",""—""),""-&gt;"",""•""),""~@"", CONCATENATE(""["&amp;"i]"",REGEXEXTRACT(B231,""^([\s\S]*),|$""),""[/i]"")),""~"", CONCATENATE(""[i]"",B231,""[/i]"")),""(\([\s\S]*?\))"",""[i][color=#34343A]$0[/color][/i]""), ""&lt;"", ""[""), ""&gt;"", ""]""), ""[/p][p]"", ""[font_size=15]\n\n[/font_size]""), ""[br/]"", ""\n"")"),"[center][u]Vehicle[/u][/center][p]If your commander would gain loyalty, it gains an additional 1 loyalty.[font_size=15]\n\n[/font_size]If an asset would be healed, it is additionally [u]healed 1[/u] [i][color=#34343A](If the specified asset has attack pow"&amp;"er or health reductions, reduce them by 1 [reducing permanent reductions first]. Otherwise remove 1 damage from it.)[/color][/i][/p]")</f>
        <v xml:space="preserve">[center][u]Vehicle[/u][/center][p]If your commander would gain loyalty, it gains an additional 1 loyalty.[font_size=15]\n\n[/font_size]If an asset would be healed, it is additionally [u]healed 1[/u] [i][color=#34343A](If the specified asset has attack power or health reductions, reduce them by 1 [reducing permanent reductions first]. Otherwise remove 1 damage from it.)[/color][/i][/p]</v>
      </c>
      <c r="W231" s="4" t="str">
        <f t="shared" si="12"/>
        <v>[i]Asset[/i]</v>
      </c>
      <c r="X231" s="4" t="str">
        <f t="shared" si="13"/>
        <v>RT_BU_001</v>
      </c>
    </row>
    <row r="232" outlineLevel="1">
      <c r="A232" s="1" t="s">
        <v>913</v>
      </c>
      <c r="B232" s="4" t="s">
        <v>914</v>
      </c>
      <c r="C232" s="5" t="s">
        <v>910</v>
      </c>
      <c r="D232" s="6" t="str">
        <f>IFERROR(__xludf.DUMMYFUNCTION("IF(EQ(A232,B232),"""",SWITCH(IF(T232="""",0,COUNTA(SPLIT(T232,"" ""))),0,""Generic"",1,TRIM(T232),2,""Multicolor"",3,""Multicolor"",4,""Multicolor"",5,""Multicolor"",6,""Multicolor"",7,""Multicolor"",8,""Multicolor""))"),"Blue")</f>
        <v>Blue</v>
      </c>
      <c r="E232" s="4" t="s">
        <v>51</v>
      </c>
      <c r="F232" s="4" t="s">
        <v>26</v>
      </c>
      <c r="G232" s="4" t="s">
        <v>915</v>
      </c>
      <c r="H232" s="5" t="s">
        <v>129</v>
      </c>
      <c r="I232" s="11" t="s">
        <v>916</v>
      </c>
      <c r="J232" s="4"/>
      <c r="K232" s="8">
        <v>8</v>
      </c>
      <c r="L232" s="8">
        <v>8</v>
      </c>
      <c r="O232" s="3"/>
      <c r="Q232" s="1">
        <v>60</v>
      </c>
      <c r="R232" s="1">
        <v>50</v>
      </c>
      <c r="S232" s="4" t="str">
        <f t="shared" si="11"/>
        <v>True</v>
      </c>
      <c r="T232" s="4" t="str">
        <f>IFERROR(__xludf.DUMMYFUNCTION("CONCATENATE(if(REGEXMATCH(C232,""R""),"" Red"",""""),if(REGEXMATCH(C232,""O""),"" Orange"",""""),if(REGEXMATCH(C232,""Y""),"" Yellow"",""""),if(REGEXMATCH(C232,""G""),"" Green"",""""),if(REGEXMATCH(C232,""B""),"" Blue"",""""),if(REGEXMATCH(C232,""P""),"" "&amp;"Purple"",""""))")," Blue")</f>
        <v>Blue</v>
      </c>
      <c r="U232" s="4" t="str">
        <f>IFERROR(__xludf.DUMMYFUNCTION("TRIM(CONCAT(""[right]"", REGEXREPLACE(C232, ""([ROYGBPXZC_]|1?[0-9])"", ""[img=119]res://textures/icons/$0.png[/img]\\n"")))"),"[right][img=119]res://textures/icons/3.png[/img]\n[img=119]res://textures/icons/B.png[/img]\n")</f>
        <v>[right][img=119]res://textures/icons/3.png[/img]\n[img=119]res://textures/icons/B.png[/img]\n</v>
      </c>
      <c r="V232" s="4" t="str">
        <f>IFERROR(__xludf.DUMMYFUNCTION("SUBSTITUTE(SUBSTITUTE(SUBSTITUTE(SUBSTITUTE(REGEXREPLACE(SUBSTITUTE(SUBSTITUTE(SUBSTITUTE(SUBSTITUTE(REGEXREPLACE(I232, ""(\[([ROYGBPTQUXZC_]|1?[0-9])\])"", ""[img=45]res://textures/icons/$2.png[/img]""),""--"",""—""),""-&gt;"",""•""),""~@"", CONCATENATE(""["&amp;"i]"",REGEXEXTRACT(B232,""^([\s\S]*),|$""),""[/i]"")),""~"", CONCATENATE(""[i]"",B232,""[/i]"")),""(\([\s\S]*?\))"",""[i][color=#34343A]$0[/color][/i]""), ""&lt;"", ""[""), ""&gt;"", ""]""), ""[/p][p]"", ""[font_size=15]\n\n[/font_size]""), ""[br/]"", ""\n"")"),"[center][u]Inexhaustible[/u] [i][color=#34343A](The first time [i]BearCat[/i] attacks each turn, it isn't exhausted.)[/color][/i], [u]Vehicle[/u] [i][color=#34343A](When [i]BearCat[/i] enters the battlefield, you may choose another asset to attach it to. "&amp;"The combined unit has all effects of both assets, and the highest attack power, health, and ranged status of the two.)[/color][/i][/center]")</f>
        <v xml:space="preserve">[center][u]Inexhaustible[/u] [i][color=#34343A](The first time [i]BearCat[/i] attacks each turn, it isn't exhausted.)[/color][/i], [u]Vehicle[/u] [i][color=#34343A](When [i]BearCat[/i] enters the battlefield, you may choose another asset to attach it to. The combined unit has all effects of both assets, and the highest attack power, health, and ranged status of the two.)[/color][/i][/center]</v>
      </c>
      <c r="W232" s="4" t="str">
        <f t="shared" si="12"/>
        <v>[i]Asset[/i]</v>
      </c>
      <c r="X232" s="4" t="str">
        <f t="shared" si="13"/>
        <v>RT_BU_002</v>
      </c>
    </row>
    <row r="233" outlineLevel="1">
      <c r="A233" s="1" t="s">
        <v>917</v>
      </c>
      <c r="B233" s="4" t="s">
        <v>918</v>
      </c>
      <c r="C233" s="5" t="s">
        <v>919</v>
      </c>
      <c r="D233" s="6" t="str">
        <f>IFERROR(__xludf.DUMMYFUNCTION("IF(ISBLANK(A233),"""",SWITCH(IF(T233="""",0,COUNTA(SPLIT(T233,"" ""))),0,""Generic"",1,TRIM(T233),2,""Multicolor"",3,""Multicolor"",4,""Multicolor"",5,""Multicolor"",6,""Multicolor"",7,""Multicolor"",8,""Multicolor""))"),"Blue")</f>
        <v>Blue</v>
      </c>
      <c r="E233" s="4"/>
      <c r="F233" s="4" t="s">
        <v>33</v>
      </c>
      <c r="G233" s="4" t="s">
        <v>232</v>
      </c>
      <c r="H233" s="5" t="s">
        <v>119</v>
      </c>
      <c r="I233" s="10" t="s">
        <v>920</v>
      </c>
      <c r="J233" s="3"/>
      <c r="O233" s="3"/>
      <c r="Q233" s="1">
        <v>60</v>
      </c>
      <c r="R233" s="1">
        <v>50</v>
      </c>
      <c r="S233" s="4" t="str">
        <f t="shared" si="11"/>
        <v>False</v>
      </c>
      <c r="T233" s="4" t="str">
        <f>IFERROR(__xludf.DUMMYFUNCTION("CONCATENATE(if(REGEXMATCH(C233,""R""),"" Red"",""""),if(REGEXMATCH(C233,""O""),"" Orange"",""""),if(REGEXMATCH(C233,""Y""),"" Yellow"",""""),if(REGEXMATCH(C233,""G""),"" Green"",""""),if(REGEXMATCH(C233,""B""),"" Blue"",""""),if(REGEXMATCH(C233,""P""),"" "&amp;"Purple"",""""))")," Blue")</f>
        <v>Blue</v>
      </c>
      <c r="U233" s="4" t="str">
        <f>IFERROR(__xludf.DUMMYFUNCTION("TRIM(CONCAT(""[right]"", REGEXREPLACE(C233, ""([ROYGBPXZC_]|1?[0-9])"", ""[img=119]res://textures/icons/$0.png[/img]\\n"")))"),"[right][img=119]res://textures/icons/3.png[/img]\n[img=119]res://textures/icons/B.png[/img]\n[img=119]res://textures/icons/B.png[/img]\n[img=119]res://textures/icons/B.png[/img]\n")</f>
        <v>[right][img=119]res://textures/icons/3.png[/img]\n[img=119]res://textures/icons/B.png[/img]\n[img=119]res://textures/icons/B.png[/img]\n[img=119]res://textures/icons/B.png[/img]\n</v>
      </c>
      <c r="V233" s="4" t="str">
        <f>IFERROR(__xludf.DUMMYFUNCTION("SUBSTITUTE(SUBSTITUTE(SUBSTITUTE(SUBSTITUTE(REGEXREPLACE(SUBSTITUTE(SUBSTITUTE(SUBSTITUTE(SUBSTITUTE(REGEXREPLACE(I233, ""(\[([ROYGBPTQUXZC_]|1?[0-9])\])"", ""[img=45]res://textures/icons/$2.png[/img]""),""--"",""—""),""-&gt;"",""•""),""~@"", CONCATENATE(""["&amp;"i]"",REGEXEXTRACT(B233,""^([\s\S]*),|$""),""[/i]"")),""~"", CONCATENATE(""[i]"",B233,""[/i]"")),""(\([\s\S]*?\))"",""[i][color=#34343A]$0[/color][/i]""), ""&lt;"", ""[""), ""&gt;"", ""]""), ""[/p][p]"", ""[font_size=15]\n\n[/font_size]""), ""[br/]"", ""\n"")"),"[p]Choose an asset to remove from the game. Shuffle an [i]'Incarceration'[/i] into its owner's deck.[font_size=15]\n\n[/font_size]If an opponent attacked you with 3 or more combatants this turn, [i]Arrest[/i] costs [img=45]res://textures/icons/2.png[/img]"&amp;"[img=45]res://textures/icons/B.png[/img] less as long as the chosen asset belongs to that opponent.[/p]")</f>
        <v xml:space="preserve">[p]Choose an asset to remove from the game. Shuffle an [i]'Incarceration'[/i] into its owner's deck.[font_size=15]\n\n[/font_size]If an opponent attacked you with 3 or more combatants this turn, [i]Arrest[/i] costs [img=45]res://textures/icons/2.png[/img][img=45]res://textures/icons/B.png[/img] less as long as the chosen asset belongs to that opponent.[/p]</v>
      </c>
      <c r="W233" s="4" t="str">
        <f t="shared" si="12"/>
        <v>[i]Effect[/i]</v>
      </c>
      <c r="X233" s="4" t="str">
        <f t="shared" si="13"/>
        <v>RT_BU_003</v>
      </c>
    </row>
    <row r="234" outlineLevel="1">
      <c r="A234" s="1" t="s">
        <v>921</v>
      </c>
      <c r="B234" s="4" t="s">
        <v>922</v>
      </c>
      <c r="C234" s="5" t="s">
        <v>903</v>
      </c>
      <c r="D234" s="6" t="str">
        <f>IFERROR(__xludf.DUMMYFUNCTION("IF(ISBLANK(A234),"""",SWITCH(IF(T234="""",0,COUNTA(SPLIT(T234,"" ""))),0,""Generic"",1,TRIM(T234),2,""Multicolor"",3,""Multicolor"",4,""Multicolor"",5,""Multicolor"",6,""Multicolor"",7,""Multicolor"",8,""Multicolor""))"),"Blue")</f>
        <v>Blue</v>
      </c>
      <c r="E234" s="4" t="s">
        <v>79</v>
      </c>
      <c r="F234" s="4" t="s">
        <v>26</v>
      </c>
      <c r="G234" s="4" t="s">
        <v>923</v>
      </c>
      <c r="H234" s="5" t="s">
        <v>129</v>
      </c>
      <c r="I234" s="7" t="s">
        <v>924</v>
      </c>
      <c r="J234" s="4"/>
      <c r="K234" s="8">
        <v>4</v>
      </c>
      <c r="L234" s="8">
        <v>4</v>
      </c>
      <c r="O234" s="3"/>
      <c r="Q234" s="1">
        <v>50</v>
      </c>
      <c r="R234" s="1">
        <v>40</v>
      </c>
      <c r="S234" s="4" t="str">
        <f t="shared" si="11"/>
        <v>True</v>
      </c>
      <c r="T234" s="4" t="str">
        <f>IFERROR(__xludf.DUMMYFUNCTION("CONCATENATE(if(REGEXMATCH(C234,""R""),"" Red"",""""),if(REGEXMATCH(C234,""O""),"" Orange"",""""),if(REGEXMATCH(C234,""Y""),"" Yellow"",""""),if(REGEXMATCH(C234,""G""),"" Green"",""""),if(REGEXMATCH(C234,""B""),"" Blue"",""""),if(REGEXMATCH(C234,""P""),"" "&amp;"Purple"",""""))")," Blue")</f>
        <v>Blue</v>
      </c>
      <c r="U234" s="4" t="str">
        <f>IFERROR(__xludf.DUMMYFUNCTION("TRIM(CONCAT(""[right]"", REGEXREPLACE(C234, ""([ROYGBPXZC_]|1?[0-9])"", ""[img=119]res://textures/icons/$0.png[/img]\\n"")))"),"[right][img=119]res://textures/icons/2.png[/img]\n[img=119]res://textures/icons/B.png[/img]\n")</f>
        <v>[right][img=119]res://textures/icons/2.png[/img]\n[img=119]res://textures/icons/B.png[/img]\n</v>
      </c>
      <c r="V234" s="4" t="str">
        <f>IFERROR(__xludf.DUMMYFUNCTION("SUBSTITUTE(SUBSTITUTE(SUBSTITUTE(SUBSTITUTE(REGEXREPLACE(SUBSTITUTE(SUBSTITUTE(SUBSTITUTE(SUBSTITUTE(REGEXREPLACE(I234, ""(\[([ROYGBPTQUXZC_]|1?[0-9])\])"", ""[img=45]res://textures/icons/$2.png[/img]""),""--"",""—""),""-&gt;"",""•""),""~@"", CONCATENATE(""["&amp;"i]"",REGEXEXTRACT(B234,""^([\s\S]*),|$""),""[/i]"")),""~"", CONCATENATE(""[i]"",B234,""[/i]"")),""(\([\s\S]*?\))"",""[i][color=#34343A]$0[/color][/i]""), ""&lt;"", ""[""), ""&gt;"", ""]""), ""[/p][p]"", ""[font_size=15]\n\n[/font_size]""), ""[br/]"", ""\n"")"),"[center][u]Inexhaustible[/u] [i][color=#34343A](The first time [i]Department Trainee[/i] attacks each turn, it isn't exhausted.)[/color][/i], [u]Quick Hire[/u] [i][color=#34343A](When [i]Department Trainee[/i] is hired as a generator, it can exhaust as so"&amp;"on as it is hired.)[/color][/i][/center][p][img=45]res://textures/icons/T.png[/img]: Add [img=45]res://textures/icons/B.png[/img].[font_size=15]\n\n[/font_size][img=45]res://textures/icons/2.png[/img][img=45]res://textures/icons/B.png[/img][img=45]res://t"&amp;"extures/icons/B.png[/img], [img=45]res://textures/icons/T.png[/img]: Create a [i]'Fellow Officer'[/i] on the battlefield.[/p]")</f>
        <v xml:space="preserve">[center][u]Inexhaustible[/u] [i][color=#34343A](The first time [i]Department Trainee[/i] attacks each turn, it isn't exhausted.)[/color][/i], [u]Quick Hire[/u] [i][color=#34343A](When [i]Department Trainee[/i] is hired as a generator, it can exhaust as soon as it is hired.)[/color][/i][/center][p][img=45]res://textures/icons/T.png[/img]: Add [img=45]res://textures/icons/B.png[/img].[font_size=15]\n\n[/font_size][img=45]res://textures/icons/2.png[/img][img=45]res://textures/icons/B.png[/img][img=45]res://textures/icons/B.png[/img], [img=45]res://textures/icons/T.png[/img]: Create a [i]'Fellow Officer'[/i] on the battlefield.[/p]</v>
      </c>
      <c r="W234" s="4" t="str">
        <f t="shared" si="12"/>
        <v>[i]Asset[/i]</v>
      </c>
      <c r="X234" s="4" t="str">
        <f t="shared" si="13"/>
        <v>RT_BU_004</v>
      </c>
    </row>
    <row r="235" outlineLevel="1">
      <c r="A235" s="1" t="s">
        <v>925</v>
      </c>
      <c r="B235" s="4" t="s">
        <v>926</v>
      </c>
      <c r="C235" s="5" t="s">
        <v>882</v>
      </c>
      <c r="D235" s="6" t="str">
        <f>IFERROR(__xludf.DUMMYFUNCTION("IF(ISBLANK(A235),"""",SWITCH(IF(T235="""",0,COUNTA(SPLIT(T235,"" ""))),0,""Generic"",1,TRIM(T235),2,""Multicolor"",3,""Multicolor"",4,""Multicolor"",5,""Multicolor"",6,""Multicolor"",7,""Multicolor"",8,""Multicolor""))"),"Blue")</f>
        <v>Blue</v>
      </c>
      <c r="E235" s="4" t="s">
        <v>79</v>
      </c>
      <c r="F235" s="4" t="s">
        <v>26</v>
      </c>
      <c r="G235" s="4" t="s">
        <v>927</v>
      </c>
      <c r="H235" s="5" t="s">
        <v>129</v>
      </c>
      <c r="I235" s="7" t="s">
        <v>928</v>
      </c>
      <c r="J235" s="4"/>
      <c r="K235" s="8">
        <v>4</v>
      </c>
      <c r="L235" s="8">
        <v>4</v>
      </c>
      <c r="O235" s="3"/>
      <c r="Q235" s="1">
        <v>60</v>
      </c>
      <c r="R235" s="1">
        <v>50</v>
      </c>
      <c r="S235" s="4" t="str">
        <f t="shared" si="11"/>
        <v>True</v>
      </c>
      <c r="T235" s="4" t="str">
        <f>IFERROR(__xludf.DUMMYFUNCTION("CONCATENATE(if(REGEXMATCH(C235,""R""),"" Red"",""""),if(REGEXMATCH(C235,""O""),"" Orange"",""""),if(REGEXMATCH(C235,""Y""),"" Yellow"",""""),if(REGEXMATCH(C235,""G""),"" Green"",""""),if(REGEXMATCH(C235,""B""),"" Blue"",""""),if(REGEXMATCH(C235,""P""),"" "&amp;"Purple"",""""))")," Blue")</f>
        <v>Blue</v>
      </c>
      <c r="U235" s="4" t="str">
        <f>IFERROR(__xludf.DUMMYFUNCTION("TRIM(CONCAT(""[right]"", REGEXREPLACE(C235, ""([ROYGBPXZC_]|1?[0-9])"", ""[img=119]res://textures/icons/$0.png[/img]\\n"")))"),"[right][img=119]res://textures/icons/3.png[/img]\n[img=119]res://textures/icons/B.png[/img]\n[img=119]res://textures/icons/B.png[/img]\n")</f>
        <v>[right][img=119]res://textures/icons/3.png[/img]\n[img=119]res://textures/icons/B.png[/img]\n[img=119]res://textures/icons/B.png[/img]\n</v>
      </c>
      <c r="V235" s="4" t="str">
        <f>IFERROR(__xludf.DUMMYFUNCTION("SUBSTITUTE(SUBSTITUTE(SUBSTITUTE(SUBSTITUTE(REGEXREPLACE(SUBSTITUTE(SUBSTITUTE(SUBSTITUTE(SUBSTITUTE(REGEXREPLACE(I235, ""(\[([ROYGBPTQUXZC_]|1?[0-9])\])"", ""[img=45]res://textures/icons/$2.png[/img]""),""--"",""—""),""-&gt;"",""•""),""~@"", CONCATENATE(""["&amp;"i]"",REGEXEXTRACT(B235,""^([\s\S]*),|$""),""[/i]"")),""~"", CONCATENATE(""[i]"",B235,""[/i]"")),""(\([\s\S]*?\))"",""[i][color=#34343A]$0[/color][/i]""), ""&lt;"", ""[""), ""&gt;"", ""]""), ""[/p][p]"", ""[font_size=15]\n\n[/font_size]""), ""[br/]"", ""\n"")"),"When [i]SWAT Team Leader[/i] resolves, create [u]X[/u] [i][color=#34343A](X is 1 plus the number of cards named [i]SWAT Team Leader[/i] that have been deployed this game.)[/color][/i] [i]'Fellow Officer'[/i]s on the battlefield.")</f>
        <v xml:space="preserve">When [i]SWAT Team Leader[/i] resolves, create [u]X[/u] [i][color=#34343A](X is 1 plus the number of cards named [i]SWAT Team Leader[/i] that have been deployed this game.)[/color][/i] [i]'Fellow Officer'[/i]s on the battlefield.</v>
      </c>
      <c r="W235" s="4" t="str">
        <f t="shared" si="12"/>
        <v>[i]Asset[/i]</v>
      </c>
      <c r="X235" s="4" t="str">
        <f t="shared" si="13"/>
        <v>RT_BU_005</v>
      </c>
    </row>
    <row r="236" outlineLevel="1">
      <c r="A236" s="1" t="s">
        <v>929</v>
      </c>
      <c r="B236" s="1" t="s">
        <v>930</v>
      </c>
      <c r="C236" s="1" t="s">
        <v>903</v>
      </c>
      <c r="D236" s="6" t="str">
        <f>IFERROR(__xludf.DUMMYFUNCTION("IF(ISBLANK(A236),"""",SWITCH(IF(T236="""",0,COUNTA(SPLIT(T236,"" ""))),0,""Generic"",1,TRIM(T236),2,""Multicolor"",3,""Multicolor"",4,""Multicolor"",5,""Multicolor"",6,""Multicolor"",7,""Multicolor"",8,""Multicolor""))"),"Blue")</f>
        <v>Blue</v>
      </c>
      <c r="F236" s="1" t="s">
        <v>26</v>
      </c>
      <c r="G236" s="1" t="s">
        <v>138</v>
      </c>
      <c r="H236" s="5" t="s">
        <v>129</v>
      </c>
      <c r="I236" s="7" t="s">
        <v>931</v>
      </c>
      <c r="J236" s="3"/>
      <c r="O236" s="3"/>
      <c r="Q236" s="1">
        <v>50</v>
      </c>
      <c r="R236" s="1">
        <v>50</v>
      </c>
      <c r="S236" s="4" t="str">
        <f t="shared" si="11"/>
        <v>False</v>
      </c>
      <c r="T236" s="4" t="str">
        <f>IFERROR(__xludf.DUMMYFUNCTION("CONCATENATE(if(REGEXMATCH(C236,""R""),"" Red"",""""),if(REGEXMATCH(C236,""O""),"" Orange"",""""),if(REGEXMATCH(C236,""Y""),"" Yellow"",""""),if(REGEXMATCH(C236,""G""),"" Green"",""""),if(REGEXMATCH(C236,""B""),"" Blue"",""""),if(REGEXMATCH(C236,""P""),"" "&amp;"Purple"",""""))")," Blue")</f>
        <v>Blue</v>
      </c>
      <c r="U236" s="4" t="str">
        <f>IFERROR(__xludf.DUMMYFUNCTION("TRIM(CONCAT(""[right]"", REGEXREPLACE(C236, ""([ROYGBPXZC_]|1?[0-9])"", ""[img=119]res://textures/icons/$0.png[/img]\\n"")))"),"[right][img=119]res://textures/icons/2.png[/img]\n[img=119]res://textures/icons/B.png[/img]\n")</f>
        <v>[right][img=119]res://textures/icons/2.png[/img]\n[img=119]res://textures/icons/B.png[/img]\n</v>
      </c>
      <c r="V236" s="4" t="str">
        <f>IFERROR(__xludf.DUMMYFUNCTION("SUBSTITUTE(SUBSTITUTE(SUBSTITUTE(SUBSTITUTE(REGEXREPLACE(SUBSTITUTE(SUBSTITUTE(SUBSTITUTE(SUBSTITUTE(REGEXREPLACE(I236, ""(\[([ROYGBPTQUXZC_]|1?[0-9])\])"", ""[img=45]res://textures/icons/$2.png[/img]""),""--"",""—""),""-&gt;"",""•""),""~@"", CONCATENATE(""["&amp;"i]"",REGEXEXTRACT(B236,""^([\s\S]*),|$""),""[/i]"")),""~"", CONCATENATE(""[i]"",B236,""[/i]"")),""(\([\s\S]*?\))"",""[i][color=#34343A]$0[/color][/i]""), ""&lt;"", ""[""), ""&gt;"", ""]""), ""[/p][p]"", ""[font_size=15]\n\n[/font_size]""), ""[br/]"", ""\n"")"),"[center]Choose an asset; set it aside until [i]Operation 11.3[/i] leaves the battlefield.[/center]")</f>
        <v xml:space="preserve">[center]Choose an asset; set it aside until [i]Operation 11.3[/i] leaves the battlefield.[/center]</v>
      </c>
      <c r="W236" s="4" t="str">
        <f t="shared" si="12"/>
        <v>[i]Asset[/i]</v>
      </c>
      <c r="X236" s="4" t="str">
        <f t="shared" si="13"/>
        <v>RT_BU_006</v>
      </c>
    </row>
    <row r="237" outlineLevel="1">
      <c r="A237" s="1" t="s">
        <v>932</v>
      </c>
      <c r="B237" s="4" t="s">
        <v>933</v>
      </c>
      <c r="C237" s="5" t="s">
        <v>910</v>
      </c>
      <c r="D237" s="6" t="str">
        <f>IFERROR(__xludf.DUMMYFUNCTION("IF(ISBLANK(A237),"""",SWITCH(IF(T237="""",0,COUNTA(SPLIT(T237,"" ""))),0,""Generic"",1,TRIM(T237),2,""Multicolor"",3,""Multicolor"",4,""Multicolor"",5,""Multicolor"",6,""Multicolor"",7,""Multicolor"",8,""Multicolor""))"),"Blue")</f>
        <v>Blue</v>
      </c>
      <c r="E237" s="4"/>
      <c r="F237" s="4" t="s">
        <v>26</v>
      </c>
      <c r="G237" s="4" t="s">
        <v>934</v>
      </c>
      <c r="H237" s="5" t="s">
        <v>129</v>
      </c>
      <c r="I237" s="3" t="s">
        <v>935</v>
      </c>
      <c r="J237" s="3"/>
      <c r="O237" s="3"/>
      <c r="Q237" s="1">
        <v>60</v>
      </c>
      <c r="R237" s="1">
        <v>50</v>
      </c>
      <c r="S237" s="4" t="str">
        <f t="shared" si="11"/>
        <v>False</v>
      </c>
      <c r="T237" s="4" t="str">
        <f>IFERROR(__xludf.DUMMYFUNCTION("CONCATENATE(if(REGEXMATCH(C237,""R""),"" Red"",""""),if(REGEXMATCH(C237,""O""),"" Orange"",""""),if(REGEXMATCH(C237,""Y""),"" Yellow"",""""),if(REGEXMATCH(C237,""G""),"" Green"",""""),if(REGEXMATCH(C237,""B""),"" Blue"",""""),if(REGEXMATCH(C237,""P""),"" "&amp;"Purple"",""""))")," Blue")</f>
        <v>Blue</v>
      </c>
      <c r="U237" s="4" t="str">
        <f>IFERROR(__xludf.DUMMYFUNCTION("TRIM(CONCAT(""[right]"", REGEXREPLACE(C237, ""([ROYGBPXZC_]|1?[0-9])"", ""[img=119]res://textures/icons/$0.png[/img]\\n"")))"),"[right][img=119]res://textures/icons/3.png[/img]\n[img=119]res://textures/icons/B.png[/img]\n")</f>
        <v>[right][img=119]res://textures/icons/3.png[/img]\n[img=119]res://textures/icons/B.png[/img]\n</v>
      </c>
      <c r="V237" s="4" t="str">
        <f>IFERROR(__xludf.DUMMYFUNCTION("SUBSTITUTE(SUBSTITUTE(SUBSTITUTE(SUBSTITUTE(REGEXREPLACE(SUBSTITUTE(SUBSTITUTE(SUBSTITUTE(SUBSTITUTE(REGEXREPLACE(I237, ""(\[([ROYGBPTQUXZC_]|1?[0-9])\])"", ""[img=45]res://textures/icons/$2.png[/img]""),""--"",""—""),""-&gt;"",""•""),""~@"", CONCATENATE(""["&amp;"i]"",REGEXEXTRACT(B237,""^([\s\S]*),|$""),""[/i]"")),""~"", CONCATENATE(""[i]"",B237,""[/i]"")),""(\([\s\S]*?\))"",""[i][color=#34343A]$0[/color][/i]""), ""&lt;"", ""[""), ""&gt;"", ""]""), ""[/p][p]"", ""[font_size=15]\n\n[/font_size]""), ""[br/]"", ""\n"")"),"[p]When [i]Sedative Cuffs[/i] enters the battlefield, choose an augmented or human combatant to attach it to.[font_size=15]\n\n[/font_size]The attached asset can't attack or intercept and has ""[img=45]res://textures/icons/1.png[/img][img=45]res://texture"&amp;"s/icons/B.png[/img]: Until end of turn, this asset loses all effects. This effect may be activated by any player.""[/p]")</f>
        <v xml:space="preserve">[p]When [i]Sedative Cuffs[/i] enters the battlefield, choose an augmented or human combatant to attach it to.[font_size=15]\n\n[/font_size]The attached asset can't attack or intercept and has "[img=45]res://textures/icons/1.png[/img][img=45]res://textures/icons/B.png[/img]: Until end of turn, this asset loses all effects. This effect may be activated by any player."[/p]</v>
      </c>
      <c r="W237" s="4" t="str">
        <f t="shared" si="12"/>
        <v>[i]Asset[/i]</v>
      </c>
      <c r="X237" s="4" t="str">
        <f t="shared" si="13"/>
        <v>RT_BU_007</v>
      </c>
      <c r="Y237" s="4"/>
      <c r="Z237" s="4"/>
      <c r="AA237" s="4"/>
      <c r="AB237" s="4"/>
    </row>
    <row r="238" outlineLevel="1">
      <c r="A238" s="1" t="s">
        <v>936</v>
      </c>
      <c r="B238" s="4" t="s">
        <v>937</v>
      </c>
      <c r="C238" s="5" t="s">
        <v>882</v>
      </c>
      <c r="D238" s="6" t="str">
        <f>IFERROR(__xludf.DUMMYFUNCTION("IF(ISBLANK(A238),"""",SWITCH(IF(T238="""",0,COUNTA(SPLIT(T238,"" ""))),0,""Generic"",1,TRIM(T238),2,""Multicolor"",3,""Multicolor"",4,""Multicolor"",5,""Multicolor"",6,""Multicolor"",7,""Multicolor"",8,""Multicolor""))"),"Blue")</f>
        <v>Blue</v>
      </c>
      <c r="E238" s="4"/>
      <c r="F238" s="4" t="s">
        <v>33</v>
      </c>
      <c r="G238" s="4" t="s">
        <v>118</v>
      </c>
      <c r="H238" s="5" t="s">
        <v>129</v>
      </c>
      <c r="I238" s="7" t="s">
        <v>938</v>
      </c>
      <c r="J238" s="3"/>
      <c r="O238" s="3"/>
      <c r="Q238" s="1">
        <v>60</v>
      </c>
      <c r="R238" s="1">
        <v>50</v>
      </c>
      <c r="S238" s="4" t="str">
        <f t="shared" si="11"/>
        <v>False</v>
      </c>
      <c r="T238" s="4" t="str">
        <f>IFERROR(__xludf.DUMMYFUNCTION("CONCATENATE(if(REGEXMATCH(C238,""R""),"" Red"",""""),if(REGEXMATCH(C238,""O""),"" Orange"",""""),if(REGEXMATCH(C238,""Y""),"" Yellow"",""""),if(REGEXMATCH(C238,""G""),"" Green"",""""),if(REGEXMATCH(C238,""B""),"" Blue"",""""),if(REGEXMATCH(C238,""P""),"" "&amp;"Purple"",""""))")," Blue")</f>
        <v>Blue</v>
      </c>
      <c r="U238" s="4" t="str">
        <f>IFERROR(__xludf.DUMMYFUNCTION("TRIM(CONCAT(""[right]"", REGEXREPLACE(C238, ""([ROYGBPXZC_]|1?[0-9])"", ""[img=119]res://textures/icons/$0.png[/img]\\n"")))"),"[right][img=119]res://textures/icons/3.png[/img]\n[img=119]res://textures/icons/B.png[/img]\n[img=119]res://textures/icons/B.png[/img]\n")</f>
        <v>[right][img=119]res://textures/icons/3.png[/img]\n[img=119]res://textures/icons/B.png[/img]\n[img=119]res://textures/icons/B.png[/img]\n</v>
      </c>
      <c r="V238" s="4" t="str">
        <f>IFERROR(__xludf.DUMMYFUNCTION("SUBSTITUTE(SUBSTITUTE(SUBSTITUTE(SUBSTITUTE(REGEXREPLACE(SUBSTITUTE(SUBSTITUTE(SUBSTITUTE(SUBSTITUTE(REGEXREPLACE(I238, ""(\[([ROYGBPTQUXZC_]|1?[0-9])\])"", ""[img=45]res://textures/icons/$2.png[/img]""),""--"",""—""),""-&gt;"",""•""),""~@"", CONCATENATE(""["&amp;"i]"",REGEXEXTRACT(B238,""^([\s\S]*),|$""),""[/i]"")),""~"", CONCATENATE(""[i]"",B238,""[/i]"")),""(\([\s\S]*?\))"",""[i][color=#34343A]$0[/color][/i]""), ""&lt;"", ""[""), ""&gt;"", ""]""), ""[/p][p]"", ""[font_size=15]\n\n[/font_size]""), ""[br/]"", ""\n"")"),"[i]Maintain Order[/i] costs [img=45]res://textures/icons/1.png[/img] less to deploy if you didn't go first.[p]Kill all combatants that have attacked this turn.[/p]")</f>
        <v xml:space="preserve">[i]Maintain Order[/i] costs [img=45]res://textures/icons/1.png[/img] less to deploy if you didn't go first.[p]Kill all combatants that have attacked this turn.[/p]</v>
      </c>
      <c r="W238" s="4" t="str">
        <f t="shared" si="12"/>
        <v>[i]Effect[/i]</v>
      </c>
      <c r="X238" s="4" t="str">
        <f t="shared" si="13"/>
        <v>RT_BU_008</v>
      </c>
    </row>
    <row r="239" outlineLevel="1">
      <c r="A239" s="1" t="s">
        <v>939</v>
      </c>
      <c r="B239" s="1" t="s">
        <v>940</v>
      </c>
      <c r="C239" s="2" t="s">
        <v>941</v>
      </c>
      <c r="D239" s="6" t="str">
        <f>IFERROR(__xludf.DUMMYFUNCTION("IF(EQ(A239,B239),"""",SWITCH(IF(T239="""",0,COUNTA(SPLIT(T239,"" ""))),0,""Generic"",1,TRIM(T239),2,""Multicolor"",3,""Multicolor"",4,""Multicolor"",5,""Multicolor"",6,""Multicolor"",7,""Multicolor"",8,""Multicolor""))"),"Blue")</f>
        <v>Blue</v>
      </c>
      <c r="E239" s="1" t="s">
        <v>79</v>
      </c>
      <c r="F239" s="1" t="s">
        <v>26</v>
      </c>
      <c r="G239" s="1" t="s">
        <v>942</v>
      </c>
      <c r="H239" s="2" t="s">
        <v>50</v>
      </c>
      <c r="I239" s="15"/>
      <c r="J239" s="3"/>
      <c r="K239" s="1">
        <v>4</v>
      </c>
      <c r="L239" s="1">
        <v>4</v>
      </c>
      <c r="O239" s="3"/>
      <c r="Q239" s="1">
        <v>60</v>
      </c>
      <c r="R239" s="1">
        <v>50</v>
      </c>
      <c r="S239" s="4" t="str">
        <f t="shared" si="11"/>
        <v>True</v>
      </c>
      <c r="T239" s="4" t="str">
        <f>IFERROR(__xludf.DUMMYFUNCTION("CONCATENATE(if(REGEXMATCH(C239,""R""),"" Red"",""""),if(REGEXMATCH(C239,""O""),"" Orange"",""""),if(REGEXMATCH(C239,""Y""),"" Yellow"",""""),if(REGEXMATCH(C239,""G""),"" Green"",""""),if(REGEXMATCH(C239,""B""),"" Blue"",""""),if(REGEXMATCH(C239,""P""),"" "&amp;"Purple"",""""))")," Blue")</f>
        <v>Blue</v>
      </c>
      <c r="U239" s="4" t="str">
        <f>IFERROR(__xludf.DUMMYFUNCTION("TRIM(CONCAT(""[right]"", REGEXREPLACE(C239, ""([ROYGBPXZC_]|1?[0-9])"", ""[img=119]res://textures/icons/$0.png[/img]\\n"")))"),"[right][img=119]res://textures/icons/1.png[/img]\n[img=119]res://textures/icons/B.png[/img]\n")</f>
        <v>[right][img=119]res://textures/icons/1.png[/img]\n[img=119]res://textures/icons/B.png[/img]\n</v>
      </c>
      <c r="V239" s="4" t="str">
        <f>IFERROR(__xludf.DUMMYFUNCTION("SUBSTITUTE(SUBSTITUTE(SUBSTITUTE(SUBSTITUTE(REGEXREPLACE(SUBSTITUTE(SUBSTITUTE(SUBSTITUTE(SUBSTITUTE(REGEXREPLACE(I239, ""(\[([ROYGBPTQUXZC_]|1?[0-9])\])"", ""[img=45]res://textures/icons/$2.png[/img]""),""--"",""—""),""-&gt;"",""•""),""~@"", CONCATENATE(""["&amp;"i]"",REGEXEXTRACT(B239,""^([\s\S]*),|$""),""[/i]"")),""~"", CONCATENATE(""[i]"",B239,""[/i]"")),""(\([\s\S]*?\))"",""[i][color=#34343A]$0[/color][/i]""), ""&lt;"", ""[""), ""&gt;"", ""]""), ""[/p][p]"", ""[font_size=15]\n\n[/font_size]""), ""[br/]"", ""\n"")"),"")</f>
        <v/>
      </c>
      <c r="W239" s="4" t="str">
        <f t="shared" si="12"/>
        <v>[i]Asset[/i]</v>
      </c>
      <c r="X239" s="4" t="str">
        <f t="shared" si="13"/>
        <v>RT_BC_001</v>
      </c>
    </row>
    <row r="240" outlineLevel="1">
      <c r="A240" s="1" t="s">
        <v>943</v>
      </c>
      <c r="B240" s="4" t="s">
        <v>944</v>
      </c>
      <c r="C240" s="5" t="s">
        <v>903</v>
      </c>
      <c r="D240" s="6" t="str">
        <f>IFERROR(__xludf.DUMMYFUNCTION("IF(ISBLANK(A240),"""",SWITCH(IF(T240="""",0,COUNTA(SPLIT(T240,"" ""))),0,""Generic"",1,TRIM(T240),2,""Multicolor"",3,""Multicolor"",4,""Multicolor"",5,""Multicolor"",6,""Multicolor"",7,""Multicolor"",8,""Multicolor""))"),"Blue")</f>
        <v>Blue</v>
      </c>
      <c r="E240" s="4" t="s">
        <v>79</v>
      </c>
      <c r="F240" s="4" t="s">
        <v>26</v>
      </c>
      <c r="G240" s="4" t="s">
        <v>927</v>
      </c>
      <c r="H240" s="5" t="s">
        <v>44</v>
      </c>
      <c r="I240" s="3" t="s">
        <v>945</v>
      </c>
      <c r="J240" s="7" t="s">
        <v>946</v>
      </c>
      <c r="K240" s="8">
        <v>4</v>
      </c>
      <c r="L240" s="8">
        <v>6</v>
      </c>
      <c r="O240" s="3"/>
      <c r="Q240" s="1">
        <v>50</v>
      </c>
      <c r="R240" s="1">
        <v>50</v>
      </c>
      <c r="S240" s="4" t="str">
        <f t="shared" si="11"/>
        <v>True</v>
      </c>
      <c r="T240" s="4" t="str">
        <f>IFERROR(__xludf.DUMMYFUNCTION("CONCATENATE(if(REGEXMATCH(C240,""R""),"" Red"",""""),if(REGEXMATCH(C240,""O""),"" Orange"",""""),if(REGEXMATCH(C240,""Y""),"" Yellow"",""""),if(REGEXMATCH(C240,""G""),"" Green"",""""),if(REGEXMATCH(C240,""B""),"" Blue"",""""),if(REGEXMATCH(C240,""P""),"" "&amp;"Purple"",""""))")," Blue")</f>
        <v>Blue</v>
      </c>
      <c r="U240" s="4" t="str">
        <f>IFERROR(__xludf.DUMMYFUNCTION("TRIM(CONCAT(""[right]"", REGEXREPLACE(C240, ""([ROYGBPXZC_]|1?[0-9])"", ""[img=119]res://textures/icons/$0.png[/img]\\n"")))"),"[right][img=119]res://textures/icons/2.png[/img]\n[img=119]res://textures/icons/B.png[/img]\n")</f>
        <v>[right][img=119]res://textures/icons/2.png[/img]\n[img=119]res://textures/icons/B.png[/img]\n</v>
      </c>
      <c r="V240" s="4" t="str">
        <f>IFERROR(__xludf.DUMMYFUNCTION("SUBSTITUTE(SUBSTITUTE(SUBSTITUTE(SUBSTITUTE(REGEXREPLACE(SUBSTITUTE(SUBSTITUTE(SUBSTITUTE(SUBSTITUTE(REGEXREPLACE(I240, ""(\[([ROYGBPTQUXZC_]|1?[0-9])\])"", ""[img=45]res://textures/icons/$2.png[/img]""),""--"",""—""),""-&gt;"",""•""),""~@"", CONCATENATE(""["&amp;"i]"",REGEXEXTRACT(B240,""^([\s\S]*),|$""),""[/i]"")),""~"", CONCATENATE(""[i]"",B240,""[/i]"")),""(\([\s\S]*?\))"",""[i][color=#34343A]$0[/color][/i]""), ""&lt;"", ""[""), ""&gt;"", ""]""), ""[/p][p]"", ""[font_size=15]\n\n[/font_size]""), ""[br/]"", ""\n"")"),"[center][u]Inexhaustible[/u] [i][color=#34343A](The first time [i]Inexhaustible Officer[/i] attacks each turn, it isn't exhausted.)[/color][/i][/center]")</f>
        <v xml:space="preserve">[center][u]Inexhaustible[/u] [i][color=#34343A](The first time [i]Inexhaustible Officer[/i] attacks each turn, it isn't exhausted.)[/color][/i][/center]</v>
      </c>
      <c r="W240" s="4" t="str">
        <f t="shared" si="12"/>
        <v>[i]Asset[/i]</v>
      </c>
      <c r="X240" s="4" t="str">
        <f t="shared" si="13"/>
        <v>RT_BC_002</v>
      </c>
    </row>
    <row r="241" outlineLevel="1">
      <c r="A241" s="1" t="s">
        <v>947</v>
      </c>
      <c r="B241" s="4" t="s">
        <v>948</v>
      </c>
      <c r="C241" s="5" t="s">
        <v>910</v>
      </c>
      <c r="D241" s="6" t="str">
        <f>IFERROR(__xludf.DUMMYFUNCTION("IF(ISBLANK(A241),"""",SWITCH(IF(T241="""",0,COUNTA(SPLIT(T241,"" ""))),0,""Generic"",1,TRIM(T241),2,""Multicolor"",3,""Multicolor"",4,""Multicolor"",5,""Multicolor"",6,""Multicolor"",7,""Multicolor"",8,""Multicolor""))"),"Blue")</f>
        <v>Blue</v>
      </c>
      <c r="E241" s="4" t="s">
        <v>51</v>
      </c>
      <c r="F241" s="4" t="s">
        <v>26</v>
      </c>
      <c r="G241" s="4" t="s">
        <v>949</v>
      </c>
      <c r="H241" s="5" t="s">
        <v>44</v>
      </c>
      <c r="I241" s="7" t="s">
        <v>950</v>
      </c>
      <c r="J241" s="7" t="s">
        <v>951</v>
      </c>
      <c r="K241" s="8">
        <v>3</v>
      </c>
      <c r="L241" s="8">
        <v>5</v>
      </c>
      <c r="O241" s="3"/>
      <c r="Q241" s="1">
        <v>45</v>
      </c>
      <c r="R241" s="1">
        <v>35</v>
      </c>
      <c r="S241" s="4" t="str">
        <f t="shared" si="11"/>
        <v>True</v>
      </c>
      <c r="T241" s="4" t="str">
        <f>IFERROR(__xludf.DUMMYFUNCTION("CONCATENATE(if(REGEXMATCH(C241,""R""),"" Red"",""""),if(REGEXMATCH(C241,""O""),"" Orange"",""""),if(REGEXMATCH(C241,""Y""),"" Yellow"",""""),if(REGEXMATCH(C241,""G""),"" Green"",""""),if(REGEXMATCH(C241,""B""),"" Blue"",""""),if(REGEXMATCH(C241,""P""),"" "&amp;"Purple"",""""))")," Blue")</f>
        <v>Blue</v>
      </c>
      <c r="U241" s="4" t="str">
        <f>IFERROR(__xludf.DUMMYFUNCTION("TRIM(CONCAT(""[right]"", REGEXREPLACE(C241, ""([ROYGBPXZC_]|1?[0-9])"", ""[img=119]res://textures/icons/$0.png[/img]\\n"")))"),"[right][img=119]res://textures/icons/3.png[/img]\n[img=119]res://textures/icons/B.png[/img]\n")</f>
        <v>[right][img=119]res://textures/icons/3.png[/img]\n[img=119]res://textures/icons/B.png[/img]\n</v>
      </c>
      <c r="V241" s="4" t="str">
        <f>IFERROR(__xludf.DUMMYFUNCTION("SUBSTITUTE(SUBSTITUTE(SUBSTITUTE(SUBSTITUTE(REGEXREPLACE(SUBSTITUTE(SUBSTITUTE(SUBSTITUTE(SUBSTITUTE(REGEXREPLACE(I241, ""(\[([ROYGBPTQUXZC_]|1?[0-9])\])"", ""[img=45]res://textures/icons/$2.png[/img]""),""--"",""—""),""-&gt;"",""•""),""~@"", CONCATENATE(""["&amp;"i]"",REGEXEXTRACT(B241,""^([\s\S]*),|$""),""[/i]"")),""~"", CONCATENATE(""[i]"",B241,""[/i]"")),""(\([\s\S]*?\))"",""[i][color=#34343A]$0[/color][/i]""), ""&lt;"", ""[""), ""&gt;"", ""]""), ""[/p][p]"", ""[font_size=15]\n\n[/font_size]""), ""[br/]"", ""\n"")"),"[center][u]Doubt 1[/u] [i][color=#34343A](When you deploy [i]Corrupt Investigator[/i], shuffle a 'Doubt' into your deck.)[/color][/i][/center][p]When [i]Corrupt Investigator[/i] enters the battlefield, look at the top card of your deck, you may draw it or"&amp;" put it on the bottom. If you draw it, remove a card in your hand from the game.[/p]")</f>
        <v xml:space="preserve">[center][u]Doubt 1[/u] [i][color=#34343A](When you deploy [i]Corrupt Investigator[/i], shuffle a 'Doubt' into your deck.)[/color][/i][/center][p]When [i]Corrupt Investigator[/i] enters the battlefield, look at the top card of your deck, you may draw it or put it on the bottom. If you draw it, remove a card in your hand from the game.[/p]</v>
      </c>
      <c r="W241" s="4" t="str">
        <f t="shared" si="12"/>
        <v>[i]Asset[/i]</v>
      </c>
      <c r="X241" s="4" t="str">
        <f t="shared" si="13"/>
        <v>RT_BC_003</v>
      </c>
    </row>
    <row r="242" outlineLevel="1">
      <c r="A242" s="1" t="s">
        <v>952</v>
      </c>
      <c r="B242" s="4" t="s">
        <v>953</v>
      </c>
      <c r="C242" s="5" t="s">
        <v>941</v>
      </c>
      <c r="D242" s="6" t="str">
        <f>IFERROR(__xludf.DUMMYFUNCTION("IF(ISBLANK(A242),"""",SWITCH(IF(T242="""",0,COUNTA(SPLIT(T242,"" ""))),0,""Generic"",1,TRIM(T242),2,""Multicolor"",3,""Multicolor"",4,""Multicolor"",5,""Multicolor"",6,""Multicolor"",7,""Multicolor"",8,""Multicolor""))"),"Blue")</f>
        <v>Blue</v>
      </c>
      <c r="E242" s="4"/>
      <c r="F242" s="4" t="s">
        <v>33</v>
      </c>
      <c r="G242" s="4" t="s">
        <v>118</v>
      </c>
      <c r="H242" s="5" t="s">
        <v>44</v>
      </c>
      <c r="I242" s="7" t="s">
        <v>954</v>
      </c>
      <c r="J242" s="3"/>
      <c r="O242" s="3"/>
      <c r="Q242" s="1">
        <v>60</v>
      </c>
      <c r="R242" s="1">
        <v>50</v>
      </c>
      <c r="S242" s="4" t="str">
        <f t="shared" si="11"/>
        <v>False</v>
      </c>
      <c r="T242" s="4" t="str">
        <f>IFERROR(__xludf.DUMMYFUNCTION("CONCATENATE(if(REGEXMATCH(C242,""R""),"" Red"",""""),if(REGEXMATCH(C242,""O""),"" Orange"",""""),if(REGEXMATCH(C242,""Y""),"" Yellow"",""""),if(REGEXMATCH(C242,""G""),"" Green"",""""),if(REGEXMATCH(C242,""B""),"" Blue"",""""),if(REGEXMATCH(C242,""P""),"" "&amp;"Purple"",""""))")," Blue")</f>
        <v>Blue</v>
      </c>
      <c r="U242" s="4" t="str">
        <f>IFERROR(__xludf.DUMMYFUNCTION("TRIM(CONCAT(""[right]"", REGEXREPLACE(C242, ""([ROYGBPXZC_]|1?[0-9])"", ""[img=119]res://textures/icons/$0.png[/img]\\n"")))"),"[right][img=119]res://textures/icons/1.png[/img]\n[img=119]res://textures/icons/B.png[/img]\n")</f>
        <v>[right][img=119]res://textures/icons/1.png[/img]\n[img=119]res://textures/icons/B.png[/img]\n</v>
      </c>
      <c r="V242" s="4" t="str">
        <f>IFERROR(__xludf.DUMMYFUNCTION("SUBSTITUTE(SUBSTITUTE(SUBSTITUTE(SUBSTITUTE(REGEXREPLACE(SUBSTITUTE(SUBSTITUTE(SUBSTITUTE(SUBSTITUTE(REGEXREPLACE(I242, ""(\[([ROYGBPTQUXZC_]|1?[0-9])\])"", ""[img=45]res://textures/icons/$2.png[/img]""),""--"",""—""),""-&gt;"",""•""),""~@"", CONCATENATE(""["&amp;"i]"",REGEXEXTRACT(B242,""^([\s\S]*),|$""),""[/i]"")),""~"", CONCATENATE(""[i]"",B242,""[/i]"")),""(\([\s\S]*?\))"",""[i][color=#34343A]$0[/color][/i]""), ""&lt;"", ""[""), ""&gt;"", ""]""), ""[/p][p]"", ""[font_size=15]\n\n[/font_size]""), ""[br/]"", ""\n"")"),"Choose a combatant with [u]generalized cost[/u] [i][color=#34343A](The cost of the card if all typed symbols were replaced with generic numbers. E.x. Capture the Week has a generalized cost of [img=45]res://textures/icons/2.png[/img].)[/color][/i] [img=45"&amp;"]res://textures/icons/4.png[/img] or less; remove it from the game.")</f>
        <v xml:space="preserve">Choose a combatant with [u]generalized cost[/u] [i][color=#34343A](The cost of the card if all typed symbols were replaced with generic numbers. E.x. Capture the Week has a generalized cost of [img=45]res://textures/icons/2.png[/img].)[/color][/i] [img=45]res://textures/icons/4.png[/img] or less; remove it from the game.</v>
      </c>
      <c r="W242" s="4" t="str">
        <f t="shared" si="12"/>
        <v>[i]Effect[/i]</v>
      </c>
      <c r="X242" s="4" t="str">
        <f t="shared" si="13"/>
        <v>RT_BC_004</v>
      </c>
    </row>
    <row r="243" outlineLevel="1">
      <c r="A243" s="1" t="s">
        <v>955</v>
      </c>
      <c r="B243" s="1" t="s">
        <v>956</v>
      </c>
      <c r="C243" s="2" t="s">
        <v>941</v>
      </c>
      <c r="D243" s="6" t="str">
        <f>IFERROR(__xludf.DUMMYFUNCTION("IF(EQ(A243,I244),"""",SWITCH(IF(T243="""",0,COUNTA(SPLIT(T243,"" ""))),0,""Generic"",1,TRIM(T243),2,""Multicolor"",3,""Multicolor"",4,""Multicolor"",5,""Multicolor"",6,""Multicolor"",7,""Multicolor"",8,""Multicolor""))"),"Blue")</f>
        <v>Blue</v>
      </c>
      <c r="E243" s="1"/>
      <c r="F243" s="1" t="s">
        <v>26</v>
      </c>
      <c r="G243" s="1" t="s">
        <v>934</v>
      </c>
      <c r="H243" s="2" t="s">
        <v>44</v>
      </c>
      <c r="I243" s="7" t="s">
        <v>957</v>
      </c>
      <c r="J243" s="3"/>
      <c r="O243" s="3"/>
      <c r="Q243" s="1">
        <v>60</v>
      </c>
      <c r="R243" s="1">
        <v>50</v>
      </c>
      <c r="S243" s="4" t="str">
        <f t="shared" si="11"/>
        <v>False</v>
      </c>
      <c r="T243" s="4" t="str">
        <f>IFERROR(__xludf.DUMMYFUNCTION("CONCATENATE(if(REGEXMATCH(C243,""R""),"" Red"",""""),if(REGEXMATCH(C243,""O""),"" Orange"",""""),if(REGEXMATCH(C243,""Y""),"" Yellow"",""""),if(REGEXMATCH(C243,""G""),"" Green"",""""),if(REGEXMATCH(C243,""B""),"" Blue"",""""),if(REGEXMATCH(C243,""P""),"" "&amp;"Purple"",""""))")," Blue")</f>
        <v>Blue</v>
      </c>
      <c r="U243" s="4" t="str">
        <f>IFERROR(__xludf.DUMMYFUNCTION("TRIM(CONCAT(""[right]"", REGEXREPLACE(C243, ""([ROYGBPXZC_]|1?[0-9])"", ""[img=119]res://textures/icons/$0.png[/img]\\n"")))"),"[right][img=119]res://textures/icons/1.png[/img]\n[img=119]res://textures/icons/B.png[/img]\n")</f>
        <v>[right][img=119]res://textures/icons/1.png[/img]\n[img=119]res://textures/icons/B.png[/img]\n</v>
      </c>
      <c r="V243" s="4" t="str">
        <f>IFERROR(__xludf.DUMMYFUNCTION("SUBSTITUTE(SUBSTITUTE(SUBSTITUTE(SUBSTITUTE(REGEXREPLACE(SUBSTITUTE(SUBSTITUTE(SUBSTITUTE(SUBSTITUTE(REGEXREPLACE(I243, ""(\[([ROYGBPTQUXZC_]|1?[0-9])\])"", ""[img=45]res://textures/icons/$2.png[/img]""),""--"",""—""),""-&gt;"",""•""),""~@"", CONCATENATE(""["&amp;"i]"",REGEXEXTRACT(B243,""^([\s\S]*),|$""),""[/i]"")),""~"", CONCATENATE(""[i]"",B243,""[/i]"")),""(\([\s\S]*?\))"",""[i][color=#34343A]$0[/color][/i]""), ""&lt;"", ""[""), ""&gt;"", ""]""), ""[/p][p]"", ""[font_size=15]\n\n[/font_size]""), ""[br/]"", ""\n"")"),"[center][u]Tradeable[/u] [i][color=#34343A](Once each turn, you may pay [i]Stun Baton[/i]'s cost, if you do choose another asset; attach [i]Stun Baton[/i] to it.)[/color][/i][/center][p]When [i]Stun Baton[/i] enters the battlefield, attach it to a combata"&amp;"nt of your choice.[font_size=15]\n\n[/font_size]Whenever the attached asset deals damage to a combatant, the next time that combatant would be refreshed, it isn't.[/p]")</f>
        <v xml:space="preserve">[center][u]Tradeable[/u] [i][color=#34343A](Once each turn, you may pay [i]Stun Baton[/i]'s cost, if you do choose another asset; attach [i]Stun Baton[/i] to it.)[/color][/i][/center][p]When [i]Stun Baton[/i] enters the battlefield, attach it to a combatant of your choice.[font_size=15]\n\n[/font_size]Whenever the attached asset deals damage to a combatant, the next time that combatant would be refreshed, it isn't.[/p]</v>
      </c>
      <c r="W243" s="4" t="str">
        <f t="shared" si="12"/>
        <v>[i]Asset[/i]</v>
      </c>
      <c r="X243" s="4" t="str">
        <f t="shared" si="13"/>
        <v>RT_BC_005</v>
      </c>
    </row>
    <row r="244" outlineLevel="1">
      <c r="A244" s="1" t="s">
        <v>958</v>
      </c>
      <c r="B244" s="1" t="s">
        <v>959</v>
      </c>
      <c r="C244" s="2" t="s">
        <v>61</v>
      </c>
      <c r="D244" s="6" t="str">
        <f>IFERROR(__xludf.DUMMYFUNCTION("IF(EQ(A244,B244),"""",SWITCH(IF(T244="""",0,COUNTA(SPLIT(T244,"" ""))),0,""Generic"",1,TRIM(T244),2,""Multicolor"",3,""Multicolor"",4,""Multicolor"",5,""Multicolor"",6,""Multicolor"",7,""Multicolor"",8,""Multicolor""))"),"Blue")</f>
        <v>Blue</v>
      </c>
      <c r="E244" s="1" t="s">
        <v>79</v>
      </c>
      <c r="F244" s="1" t="s">
        <v>26</v>
      </c>
      <c r="G244" s="1" t="s">
        <v>942</v>
      </c>
      <c r="H244" s="2" t="s">
        <v>50</v>
      </c>
      <c r="I244" s="3"/>
      <c r="J244" s="3"/>
      <c r="K244" s="1">
        <v>2</v>
      </c>
      <c r="L244" s="1">
        <v>2</v>
      </c>
      <c r="O244" s="3"/>
      <c r="Q244" s="1">
        <v>60</v>
      </c>
      <c r="R244" s="1">
        <v>50</v>
      </c>
      <c r="S244" s="4" t="str">
        <f t="shared" si="11"/>
        <v>True</v>
      </c>
      <c r="T244" s="4" t="str">
        <f>IFERROR(__xludf.DUMMYFUNCTION("CONCATENATE(if(REGEXMATCH(C244,""R""),"" Red"",""""),if(REGEXMATCH(C244,""O""),"" Orange"",""""),if(REGEXMATCH(C244,""Y""),"" Yellow"",""""),if(REGEXMATCH(C244,""G""),"" Green"",""""),if(REGEXMATCH(C244,""B""),"" Blue"",""""),if(REGEXMATCH(C244,""P""),"" "&amp;"Purple"",""""))")," Blue")</f>
        <v>Blue</v>
      </c>
      <c r="U244" s="4" t="str">
        <f>IFERROR(__xludf.DUMMYFUNCTION("TRIM(CONCAT(""[right]"", REGEXREPLACE(C244, ""([ROYGBPXZC_]|1?[0-9])"", ""[img=119]res://textures/icons/$0.png[/img]\\n"")))"),"[right][img=119]res://textures/icons/B.png[/img]\n")</f>
        <v>[right][img=119]res://textures/icons/B.png[/img]\n</v>
      </c>
      <c r="V244" s="4" t="str">
        <f>IFERROR(__xludf.DUMMYFUNCTION("SUBSTITUTE(SUBSTITUTE(SUBSTITUTE(SUBSTITUTE(REGEXREPLACE(SUBSTITUTE(SUBSTITUTE(SUBSTITUTE(SUBSTITUTE(REGEXREPLACE(I244, ""(\[([ROYGBPTQUXZC_]|1?[0-9])\])"", ""[img=45]res://textures/icons/$2.png[/img]""),""--"",""—""),""-&gt;"",""•""),""~@"", CONCATENATE(""["&amp;"i]"",REGEXEXTRACT(B244,""^([\s\S]*),|$""),""[/i]"")),""~"", CONCATENATE(""[i]"",B244,""[/i]"")),""(\([\s\S]*?\))"",""[i][color=#34343A]$0[/color][/i]""), ""&lt;"", ""[""), ""&gt;"", ""]""), ""[/p][p]"", ""[font_size=15]\n\n[/font_size]""), ""[br/]"", ""\n"")"),"")</f>
        <v/>
      </c>
      <c r="W244" s="4" t="str">
        <f t="shared" si="12"/>
        <v>[i]Asset[/i]</v>
      </c>
      <c r="X244" s="4" t="str">
        <f t="shared" si="13"/>
        <v>RT_BC_006</v>
      </c>
    </row>
    <row r="245" outlineLevel="1">
      <c r="A245" s="1" t="s">
        <v>960</v>
      </c>
      <c r="B245" s="1" t="s">
        <v>961</v>
      </c>
      <c r="C245" s="2" t="s">
        <v>56</v>
      </c>
      <c r="D245" s="6" t="str">
        <f>IFERROR(__xludf.DUMMYFUNCTION("IF(EQ(A245,B245),"""",SWITCH(IF(T245="""",0,COUNTA(SPLIT(T245,"" ""))),0,""Generic"",1,TRIM(T245),2,""Multicolor"",3,""Multicolor"",4,""Multicolor"",5,""Multicolor"",6,""Multicolor"",7,""Multicolor"",8,""Multicolor""))"),"Blue")</f>
        <v>Blue</v>
      </c>
      <c r="E245" s="1" t="s">
        <v>51</v>
      </c>
      <c r="F245" s="1" t="s">
        <v>738</v>
      </c>
      <c r="G245" s="1" t="s">
        <v>962</v>
      </c>
      <c r="H245" s="2" t="s">
        <v>134</v>
      </c>
      <c r="I245" s="3" t="s">
        <v>963</v>
      </c>
      <c r="J245" s="3"/>
      <c r="K245" s="1">
        <v>1</v>
      </c>
      <c r="L245" s="1">
        <v>5</v>
      </c>
      <c r="O245" s="3"/>
      <c r="Q245" s="1">
        <v>60</v>
      </c>
      <c r="R245" s="1">
        <v>50</v>
      </c>
      <c r="S245" s="4" t="str">
        <f t="shared" si="11"/>
        <v>True</v>
      </c>
      <c r="T245" s="4" t="str">
        <f>IFERROR(__xludf.DUMMYFUNCTION("CONCATENATE(if(REGEXMATCH(C245,""R""),"" Red"",""""),if(REGEXMATCH(C245,""O""),"" Orange"",""""),if(REGEXMATCH(C245,""Y""),"" Yellow"",""""),if(REGEXMATCH(C245,""G""),"" Green"",""""),if(REGEXMATCH(C245,""B""),"" Blue"",""""),if(REGEXMATCH(C245,""P""),"" "&amp;"Purple"",""""))")," Blue")</f>
        <v>Blue</v>
      </c>
      <c r="U245" s="4" t="str">
        <f>IFERROR(__xludf.DUMMYFUNCTION("TRIM(CONCAT(""[right]"", REGEXREPLACE(C245, ""([ROYGBPXZC_]|1?[0-9])"", ""[img=119]res://textures/icons/$0.png[/img]\\n"")))"),"[right][img=119]res://textures/icons/B.png[/img]\n[img=119]res://textures/icons/B.png[/img]\n")</f>
        <v>[right][img=119]res://textures/icons/B.png[/img]\n[img=119]res://textures/icons/B.png[/img]\n</v>
      </c>
      <c r="V245" s="4" t="str">
        <f>IFERROR(__xludf.DUMMYFUNCTION("SUBSTITUTE(SUBSTITUTE(SUBSTITUTE(SUBSTITUTE(REGEXREPLACE(SUBSTITUTE(SUBSTITUTE(SUBSTITUTE(SUBSTITUTE(REGEXREPLACE(I245, ""(\[([ROYGBPTQUXZC_]|1?[0-9])\])"", ""[img=45]res://textures/icons/$2.png[/img]""),""--"",""—""),""-&gt;"",""•""),""~@"", CONCATENATE(""["&amp;"i]"",REGEXEXTRACT(B245,""^([\s\S]*),|$""),""[/i]"")),""~"", CONCATENATE(""[i]"",B245,""[/i]"")),""(\([\s\S]*?\))"",""[i][color=#34343A]$0[/color][/i]""), ""&lt;"", ""[""), ""&gt;"", ""]""), ""[/p][p]"", ""[font_size=15]\n\n[/font_size]""), ""[br/]"", ""\n"")"),"[center][i][color=#34343A](You may play [i]Precinct Armory[/i] whenever you have the option to hire a generator, instead of hiring any other card as a generator, or you may deploy it as an asset.)[/color][/i][/center][p][u]Barricade[/u] [i][color=#34343A]"&amp;"([i]Precinct Armory[/i] can't attack; however, intercepting doesn't exhaust it.)[/color][/i][font_size=15]\n\n[/font_size][img=45]res://textures/icons/T.png[/img], Choose a combatant; create a [u]transient[/u] [i][color=#34343A](If it would enter a discar"&amp;"d, instead remove it from the game.)[/color][/i] [i]'Ballistic Pistol'[/i] attached to it.[/p]")</f>
        <v xml:space="preserve">[center][i][color=#34343A](You may play [i]Precinct Armory[/i] whenever you have the option to hire a generator, instead of hiring any other card as a generator, or you may deploy it as an asset.)[/color][/i][/center][p][u]Barricade[/u] [i][color=#34343A]([i]Precinct Armory[/i] can't attack; however, intercepting doesn't exhaust it.)[/color][/i][font_size=15]\n\n[/font_size][img=45]res://textures/icons/T.png[/img], Choose a combatant; create a [u]transient[/u] [i][color=#34343A](If it would enter a discard, instead remove it from the game.)[/color][/i] [i]'Ballistic Pistol'[/i] attached to it.[/p]</v>
      </c>
      <c r="W245" s="4" t="str">
        <f t="shared" si="12"/>
        <v xml:space="preserve">[i]Gen. Asset[/i]</v>
      </c>
      <c r="X245" s="4" t="str">
        <f t="shared" si="13"/>
        <v>RT_BC_007</v>
      </c>
    </row>
    <row r="246" outlineLevel="1">
      <c r="A246" s="1" t="s">
        <v>964</v>
      </c>
      <c r="B246" s="1" t="s">
        <v>965</v>
      </c>
      <c r="C246" s="2" t="s">
        <v>56</v>
      </c>
      <c r="D246" s="6" t="str">
        <f>IFERROR(__xludf.DUMMYFUNCTION("IF(EQ(A246,B246),"""",SWITCH(IF(T246="""",0,COUNTA(SPLIT(T246,"" ""))),0,""Generic"",1,TRIM(T246),2,""Multicolor"",3,""Multicolor"",4,""Multicolor"",5,""Multicolor"",6,""Multicolor"",7,""Multicolor"",8,""Multicolor""))"),"Blue")</f>
        <v>Blue</v>
      </c>
      <c r="E246" s="1" t="s">
        <v>51</v>
      </c>
      <c r="F246" s="1" t="s">
        <v>26</v>
      </c>
      <c r="G246" s="1" t="s">
        <v>966</v>
      </c>
      <c r="H246" s="2" t="s">
        <v>50</v>
      </c>
      <c r="I246" s="3" t="s">
        <v>967</v>
      </c>
      <c r="J246" s="3"/>
      <c r="K246" s="1">
        <v>0</v>
      </c>
      <c r="L246" s="1">
        <v>5</v>
      </c>
      <c r="O246" s="3"/>
      <c r="Q246" s="1">
        <v>60</v>
      </c>
      <c r="R246" s="1">
        <v>50</v>
      </c>
      <c r="S246" s="4" t="str">
        <f t="shared" si="11"/>
        <v>True</v>
      </c>
      <c r="T246" s="4" t="str">
        <f>IFERROR(__xludf.DUMMYFUNCTION("CONCATENATE(if(REGEXMATCH(C246,""R""),"" Red"",""""),if(REGEXMATCH(C246,""O""),"" Orange"",""""),if(REGEXMATCH(C246,""Y""),"" Yellow"",""""),if(REGEXMATCH(C246,""G""),"" Green"",""""),if(REGEXMATCH(C246,""B""),"" Blue"",""""),if(REGEXMATCH(C246,""P""),"" "&amp;"Purple"",""""))")," Blue")</f>
        <v>Blue</v>
      </c>
      <c r="U246" s="4" t="str">
        <f>IFERROR(__xludf.DUMMYFUNCTION("TRIM(CONCAT(""[right]"", REGEXREPLACE(C246, ""([ROYGBPXZC_]|1?[0-9])"", ""[img=119]res://textures/icons/$0.png[/img]\\n"")))"),"[right][img=119]res://textures/icons/B.png[/img]\n[img=119]res://textures/icons/B.png[/img]\n")</f>
        <v>[right][img=119]res://textures/icons/B.png[/img]\n[img=119]res://textures/icons/B.png[/img]\n</v>
      </c>
      <c r="V246" s="4" t="str">
        <f>IFERROR(__xludf.DUMMYFUNCTION("SUBSTITUTE(SUBSTITUTE(SUBSTITUTE(SUBSTITUTE(REGEXREPLACE(SUBSTITUTE(SUBSTITUTE(SUBSTITUTE(SUBSTITUTE(REGEXREPLACE(I246, ""(\[([ROYGBPTQUXZC_]|1?[0-9])\])"", ""[img=45]res://textures/icons/$2.png[/img]""),""--"",""—""),""-&gt;"",""•""),""~@"", CONCATENATE(""["&amp;"i]"",REGEXEXTRACT(B246,""^([\s\S]*),|$""),""[/i]"")),""~"", CONCATENATE(""[i]"",B246,""[/i]"")),""(\([\s\S]*?\))"",""[i][color=#34343A]$0[/color][/i]""), ""&lt;"", ""[""), ""&gt;"", ""]""), ""[/p][p]"", ""[font_size=15]\n\n[/font_size]""), ""[br/]"", ""\n"")"),"[center][u]Barricade[/u] [i][color=#34343A]([i]Barricade Bot[/i] can't attack; however, intercepting doesn't exhaust it.)[/color][/i][/center][p]A deck may have any number of copies of [i]Barricade Bot[/i] in it.[/p]")</f>
        <v xml:space="preserve">[center][u]Barricade[/u] [i][color=#34343A]([i]Barricade Bot[/i] can't attack; however, intercepting doesn't exhaust it.)[/color][/i][/center][p]A deck may have any number of copies of [i]Barricade Bot[/i] in it.[/p]</v>
      </c>
      <c r="W246" s="4" t="str">
        <f t="shared" si="12"/>
        <v>[i]Asset[/i]</v>
      </c>
      <c r="X246" s="4" t="str">
        <f t="shared" si="13"/>
        <v>RT_BC_008</v>
      </c>
    </row>
    <row r="247" outlineLevel="1">
      <c r="A247" s="1" t="s">
        <v>968</v>
      </c>
      <c r="B247" s="1" t="s">
        <v>969</v>
      </c>
      <c r="C247" s="2" t="s">
        <v>893</v>
      </c>
      <c r="D247" s="6" t="str">
        <f>IFERROR(__xludf.DUMMYFUNCTION("IF(EQ(A225,B247),"""",SWITCH(IF(T225="""",0,COUNTA(SPLIT(T225,"" ""))),0,""Generic"",1,TRIM(T225),2,""Multicolor"",3,""Multicolor"",4,""Multicolor"",5,""Multicolor"",6,""Multicolor"",7,""Multicolor"",8,""Multicolor""))"),"Blue")</f>
        <v>Blue</v>
      </c>
      <c r="E247" s="1" t="s">
        <v>51</v>
      </c>
      <c r="F247" s="1" t="s">
        <v>26</v>
      </c>
      <c r="G247" s="1" t="s">
        <v>966</v>
      </c>
      <c r="H247" s="2" t="s">
        <v>50</v>
      </c>
      <c r="I247" s="3" t="s">
        <v>945</v>
      </c>
      <c r="J247" s="3"/>
      <c r="K247" s="1">
        <v>4</v>
      </c>
      <c r="L247" s="1">
        <v>4</v>
      </c>
      <c r="O247" s="3"/>
      <c r="Q247" s="1">
        <v>60</v>
      </c>
      <c r="R247" s="1">
        <v>50</v>
      </c>
      <c r="S247" s="4" t="str">
        <f t="shared" si="11"/>
        <v>True</v>
      </c>
      <c r="T247" s="4" t="str">
        <f>IFERROR(__xludf.DUMMYFUNCTION("CONCATENATE(if(REGEXMATCH(C247,""R""),"" Red"",""""),if(REGEXMATCH(C247,""O""),"" Orange"",""""),if(REGEXMATCH(C247,""Y""),"" Yellow"",""""),if(REGEXMATCH(C247,""G""),"" Green"",""""),if(REGEXMATCH(C247,""B""),"" Blue"",""""),if(REGEXMATCH(C247,""P""),"" "&amp;"Purple"",""""))")," Blue")</f>
        <v>Blue</v>
      </c>
      <c r="U247" s="4" t="str">
        <f>IFERROR(__xludf.DUMMYFUNCTION("TRIM(CONCAT(""[right]"", REGEXREPLACE(C247, ""([ROYGBPXZC_]|1?[0-9])"", ""[img=119]res://textures/icons/$0.png[/img]\\n"")))"),"[right][img=119]res://textures/icons/1.png[/img]\n[img=119]res://textures/icons/B.png[/img]\n[img=119]res://textures/icons/B.png[/img]\n")</f>
        <v>[right][img=119]res://textures/icons/1.png[/img]\n[img=119]res://textures/icons/B.png[/img]\n[img=119]res://textures/icons/B.png[/img]\n</v>
      </c>
      <c r="V247" s="4" t="str">
        <f>IFERROR(__xludf.DUMMYFUNCTION("SUBSTITUTE(SUBSTITUTE(SUBSTITUTE(SUBSTITUTE(REGEXREPLACE(SUBSTITUTE(SUBSTITUTE(SUBSTITUTE(SUBSTITUTE(REGEXREPLACE(I247, ""(\[([ROYGBPTQUXZC_]|1?[0-9])\])"", ""[img=45]res://textures/icons/$2.png[/img]""),""--"",""—""),""-&gt;"",""•""),""~@"", CONCATENATE(""["&amp;"i]"",REGEXEXTRACT(B247,""^([\s\S]*),|$""),""[/i]"")),""~"", CONCATENATE(""[i]"",B247,""[/i]"")),""(\([\s\S]*?\))"",""[i][color=#34343A]$0[/color][/i]""), ""&lt;"", ""[""), ""&gt;"", ""]""), ""[/p][p]"", ""[font_size=15]\n\n[/font_size]""), ""[br/]"", ""\n"")"),"[center][u]Inexhaustible[/u] [i][color=#34343A](The first time [i]Police Drone[/i] attacks each turn, it isn't exhausted.)[/color][/i][/center]")</f>
        <v xml:space="preserve">[center][u]Inexhaustible[/u] [i][color=#34343A](The first time [i]Police Drone[/i] attacks each turn, it isn't exhausted.)[/color][/i][/center]</v>
      </c>
      <c r="W247" s="4" t="str">
        <f t="shared" si="12"/>
        <v>[i]Asset[/i]</v>
      </c>
      <c r="X247" s="4" t="str">
        <f t="shared" si="13"/>
        <v>RT_BC_009</v>
      </c>
    </row>
    <row r="248" outlineLevel="1">
      <c r="A248" s="1" t="s">
        <v>970</v>
      </c>
      <c r="B248" s="1" t="s">
        <v>971</v>
      </c>
      <c r="C248" s="2" t="s">
        <v>893</v>
      </c>
      <c r="D248" s="6" t="str">
        <f>IFERROR(__xludf.DUMMYFUNCTION("IF(EQ(A248,B248),"""",SWITCH(IF(T248="""",0,COUNTA(SPLIT(T248,"" ""))),0,""Generic"",1,TRIM(T248),2,""Multicolor"",3,""Multicolor"",4,""Multicolor"",5,""Multicolor"",6,""Multicolor"",7,""Multicolor"",8,""Multicolor""))"),"Blue")</f>
        <v>Blue</v>
      </c>
      <c r="E248" s="1" t="s">
        <v>51</v>
      </c>
      <c r="F248" s="1" t="s">
        <v>94</v>
      </c>
      <c r="G248" s="1" t="s">
        <v>972</v>
      </c>
      <c r="H248" s="2" t="s">
        <v>32</v>
      </c>
      <c r="I248" s="11" t="s">
        <v>973</v>
      </c>
      <c r="J248" s="3"/>
      <c r="K248" s="1">
        <v>1</v>
      </c>
      <c r="L248" s="1">
        <v>2</v>
      </c>
      <c r="O248" s="3"/>
      <c r="Q248" s="1">
        <v>45</v>
      </c>
      <c r="R248" s="1">
        <v>35</v>
      </c>
      <c r="S248" s="4" t="str">
        <f t="shared" si="11"/>
        <v>True</v>
      </c>
      <c r="T248" s="4" t="str">
        <f>IFERROR(__xludf.DUMMYFUNCTION("CONCATENATE(if(REGEXMATCH(C248,""R""),"" Red"",""""),if(REGEXMATCH(C248,""O""),"" Orange"",""""),if(REGEXMATCH(C248,""Y""),"" Yellow"",""""),if(REGEXMATCH(C248,""G""),"" Green"",""""),if(REGEXMATCH(C248,""B""),"" Blue"",""""),if(REGEXMATCH(C248,""P""),"" "&amp;"Purple"",""""))")," Blue")</f>
        <v>Blue</v>
      </c>
      <c r="U248" s="4" t="str">
        <f>IFERROR(__xludf.DUMMYFUNCTION("TRIM(CONCAT(""[right]"", REGEXREPLACE(C248, ""([ROYGBPXZC_]|1?[0-9])"", ""[img=119]res://textures/icons/$0.png[/img]\\n"")))"),"[right][img=119]res://textures/icons/1.png[/img]\n[img=119]res://textures/icons/B.png[/img]\n[img=119]res://textures/icons/B.png[/img]\n")</f>
        <v>[right][img=119]res://textures/icons/1.png[/img]\n[img=119]res://textures/icons/B.png[/img]\n[img=119]res://textures/icons/B.png[/img]\n</v>
      </c>
      <c r="V248" s="4" t="str">
        <f>IFERROR(__xludf.DUMMYFUNCTION("SUBSTITUTE(SUBSTITUTE(SUBSTITUTE(SUBSTITUTE(REGEXREPLACE(SUBSTITUTE(SUBSTITUTE(SUBSTITUTE(SUBSTITUTE(REGEXREPLACE(I248, ""(\[([ROYGBPTQUXZC_]|1?[0-9])\])"", ""[img=45]res://textures/icons/$2.png[/img]""),""--"",""—""),""-&gt;"",""•""),""~@"", CONCATENATE(""["&amp;"i]"",REGEXEXTRACT(B248,""^([\s\S]*),|$""),""[/i]"")),""~"", CONCATENATE(""[i]"",B248,""[/i]"")),""(\([\s\S]*?\))"",""[i][color=#34343A]$0[/color][/i]""), ""&lt;"", ""[""), ""&gt;"", ""]""), ""[/p][p]"", ""[font_size=15]\n\n[/font_size]""), ""[br/]"", ""\n"")"),"When [i]Karl, Brought His Brother[/i] enters the battlefield, you may put a [u]male[/u] [i][color=#34343A](If a card doesn't explicitly say Male or Female it counts as both.)[/color][/i] civilian card in your hand with a [u]generalized cost[/u] [i][color="&amp;"#34343A](The cost of the card if all typed symbols were replaced with generic numbers. E.x. Karl, Brought his Brother has a generalized cost of [img=45]res://textures/icons/3.png[/img].)[/color][/i] of [img=45]res://textures/icons/2.png[/img] or less onto"&amp;" the battlefield.")</f>
        <v xml:space="preserve">When [i]Karl, Brought His Brother[/i] enters the battlefield, you may put a [u]male[/u] [i][color=#34343A](If a card doesn't explicitly say Male or Female it counts as both.)[/color][/i] civilian card in your hand with a [u]generalized cost[/u] [i][color=#34343A](The cost of the card if all typed symbols were replaced with generic numbers. E.x. Karl, Brought his Brother has a generalized cost of [img=45]res://textures/icons/3.png[/img].)[/color][/i] of [img=45]res://textures/icons/2.png[/img] or less onto the battlefield.</v>
      </c>
      <c r="W248" s="4" t="str">
        <f t="shared" si="12"/>
        <v xml:space="preserve">[i]R. Asset[/i]</v>
      </c>
      <c r="X248" s="4" t="str">
        <f t="shared" si="13"/>
        <v>RT_BC_010</v>
      </c>
    </row>
    <row r="249">
      <c r="A249" s="1" t="s">
        <v>974</v>
      </c>
      <c r="B249" s="1" t="str">
        <f t="shared" ref="B243:B306" si="15">A249</f>
        <v>BC_011</v>
      </c>
      <c r="C249" s="2"/>
      <c r="D249" s="6" t="str">
        <f>IFERROR(__xludf.DUMMYFUNCTION("IF(EQ(A249,B249),"""",SWITCH(IF(T249="""",0,COUNTA(SPLIT(T249,"" ""))),0,""Generic"",1,TRIM(T249),2,""Multicolor"",3,""Multicolor"",4,""Multicolor"",5,""Multicolor"",6,""Multicolor"",7,""Multicolor"",8,""Multicolor""))"),"")</f>
        <v/>
      </c>
      <c r="E249" s="1"/>
      <c r="F249" s="1"/>
      <c r="H249" s="2"/>
      <c r="I249" s="3"/>
      <c r="J249" s="3"/>
      <c r="O249" s="3"/>
      <c r="Q249" s="1">
        <v>60</v>
      </c>
      <c r="R249" s="1">
        <v>50</v>
      </c>
      <c r="S249" s="4" t="str">
        <f t="shared" si="11"/>
        <v>False</v>
      </c>
      <c r="T249" s="4" t="str">
        <f>IFERROR(__xludf.DUMMYFUNCTION("CONCATENATE(if(REGEXMATCH(C249,""R""),"" Red"",""""),if(REGEXMATCH(C249,""O""),"" Orange"",""""),if(REGEXMATCH(C249,""Y""),"" Yellow"",""""),if(REGEXMATCH(C249,""G""),"" Green"",""""),if(REGEXMATCH(C249,""B""),"" Blue"",""""),if(REGEXMATCH(C249,""P""),"" "&amp;"Purple"",""""))"),"")</f>
        <v/>
      </c>
      <c r="U249" s="4" t="str">
        <f>IFERROR(__xludf.DUMMYFUNCTION("TRIM(CONCAT(""[right]"", REGEXREPLACE(C249, ""([ROYGBPXZC_]|1?[0-9])"", ""[img=119]res://textures/icons/$0.png[/img]\\n"")))"),"[right]")</f>
        <v>[right]</v>
      </c>
      <c r="V249" s="4" t="str">
        <f>IFERROR(__xludf.DUMMYFUNCTION("SUBSTITUTE(SUBSTITUTE(SUBSTITUTE(SUBSTITUTE(REGEXREPLACE(SUBSTITUTE(SUBSTITUTE(SUBSTITUTE(SUBSTITUTE(REGEXREPLACE(I249, ""(\[([ROYGBPTQUXZC_]|1?[0-9])\])"", ""[img=45]res://textures/icons/$2.png[/img]""),""--"",""—""),""-&gt;"",""•""),""~@"", CONCATENATE(""["&amp;"i]"",REGEXEXTRACT(B249,""^([\s\S]*),|$""),""[/i]"")),""~"", CONCATENATE(""[i]"",B249,""[/i]"")),""(\([\s\S]*?\))"",""[i][color=#34343A]$0[/color][/i]""), ""&lt;"", ""[""), ""&gt;"", ""]""), ""[/p][p]"", ""[font_size=15]\n\n[/font_size]""), ""[br/]"", ""\n"")"),"")</f>
        <v/>
      </c>
      <c r="W249" s="4" t="str">
        <f t="shared" si="12"/>
        <v>[i][/i]</v>
      </c>
      <c r="X249" s="4" t="str">
        <f t="shared" si="13"/>
        <v>0</v>
      </c>
    </row>
    <row r="250" outlineLevel="1">
      <c r="A250" s="1" t="s">
        <v>975</v>
      </c>
      <c r="B250" s="1" t="str">
        <f t="shared" si="15"/>
        <v>BC_012</v>
      </c>
      <c r="C250" s="2"/>
      <c r="D250" s="6" t="str">
        <f>IFERROR(__xludf.DUMMYFUNCTION("IF(EQ(A250,B250),"""",SWITCH(IF(T250="""",0,COUNTA(SPLIT(T250,"" ""))),0,""Generic"",1,TRIM(T250),2,""Multicolor"",3,""Multicolor"",4,""Multicolor"",5,""Multicolor"",6,""Multicolor"",7,""Multicolor"",8,""Multicolor""))"),"")</f>
        <v/>
      </c>
      <c r="E250" s="1"/>
      <c r="F250" s="1"/>
      <c r="H250" s="2"/>
      <c r="I250" s="3"/>
      <c r="J250" s="3"/>
      <c r="O250" s="3"/>
      <c r="Q250" s="1">
        <v>60</v>
      </c>
      <c r="R250" s="1">
        <v>50</v>
      </c>
      <c r="S250" s="4" t="str">
        <f t="shared" si="11"/>
        <v>False</v>
      </c>
      <c r="T250" s="4" t="str">
        <f>IFERROR(__xludf.DUMMYFUNCTION("CONCATENATE(if(REGEXMATCH(C250,""R""),"" Red"",""""),if(REGEXMATCH(C250,""O""),"" Orange"",""""),if(REGEXMATCH(C250,""Y""),"" Yellow"",""""),if(REGEXMATCH(C250,""G""),"" Green"",""""),if(REGEXMATCH(C250,""B""),"" Blue"",""""),if(REGEXMATCH(C250,""P""),"" "&amp;"Purple"",""""))"),"")</f>
        <v/>
      </c>
      <c r="U250" s="4" t="str">
        <f>IFERROR(__xludf.DUMMYFUNCTION("TRIM(CONCAT(""[right]"", REGEXREPLACE(C250, ""([ROYGBPXZC_]|1?[0-9])"", ""[img=119]res://textures/icons/$0.png[/img]\\n"")))"),"[right]")</f>
        <v>[right]</v>
      </c>
      <c r="V250" s="4" t="str">
        <f>IFERROR(__xludf.DUMMYFUNCTION("SUBSTITUTE(SUBSTITUTE(SUBSTITUTE(SUBSTITUTE(REGEXREPLACE(SUBSTITUTE(SUBSTITUTE(SUBSTITUTE(SUBSTITUTE(REGEXREPLACE(I250, ""(\[([ROYGBPTQUXZC_]|1?[0-9])\])"", ""[img=45]res://textures/icons/$2.png[/img]""),""--"",""—""),""-&gt;"",""•""),""~@"", CONCATENATE(""["&amp;"i]"",REGEXEXTRACT(B250,""^([\s\S]*),|$""),""[/i]"")),""~"", CONCATENATE(""[i]"",B250,""[/i]"")),""(\([\s\S]*?\))"",""[i][color=#34343A]$0[/color][/i]""), ""&lt;"", ""[""), ""&gt;"", ""]""), ""[/p][p]"", ""[font_size=15]\n\n[/font_size]""), ""[br/]"", ""\n"")"),"")</f>
        <v/>
      </c>
      <c r="W250" s="4" t="str">
        <f t="shared" si="12"/>
        <v>[i][/i]</v>
      </c>
      <c r="X250" s="4" t="str">
        <f t="shared" si="13"/>
        <v>0</v>
      </c>
    </row>
    <row r="251" outlineLevel="1">
      <c r="A251" s="1" t="s">
        <v>976</v>
      </c>
      <c r="B251" s="1" t="s">
        <v>977</v>
      </c>
      <c r="C251" s="2" t="s">
        <v>61</v>
      </c>
      <c r="D251" s="6" t="str">
        <f>IFERROR(__xludf.DUMMYFUNCTION("IF(EQ(A251,B251),"""",SWITCH(IF(T251="""",0,COUNTA(SPLIT(T251,"" ""))),0,""Generic"",1,TRIM(T251),2,""Multicolor"",3,""Multicolor"",4,""Multicolor"",5,""Multicolor"",6,""Multicolor"",7,""Multicolor"",8,""Multicolor""))"),"Blue")</f>
        <v>Blue</v>
      </c>
      <c r="E251" s="1" t="s">
        <v>51</v>
      </c>
      <c r="F251" s="1" t="s">
        <v>73</v>
      </c>
      <c r="G251" s="1" t="s">
        <v>978</v>
      </c>
      <c r="H251" s="2" t="s">
        <v>96</v>
      </c>
      <c r="I251" s="3" t="s">
        <v>979</v>
      </c>
      <c r="J251" s="3" t="s">
        <v>980</v>
      </c>
      <c r="K251" s="1">
        <v>1</v>
      </c>
      <c r="L251" s="1">
        <v>1</v>
      </c>
      <c r="O251" s="3"/>
      <c r="Q251" s="1">
        <v>45</v>
      </c>
      <c r="R251" s="1">
        <v>35</v>
      </c>
      <c r="S251" s="4" t="str">
        <f t="shared" si="11"/>
        <v>True</v>
      </c>
      <c r="T251" s="4" t="str">
        <f>IFERROR(__xludf.DUMMYFUNCTION("CONCATENATE(if(REGEXMATCH(C251,""R""),"" Red"",""""),if(REGEXMATCH(C251,""O""),"" Orange"",""""),if(REGEXMATCH(C251,""Y""),"" Yellow"",""""),if(REGEXMATCH(C251,""G""),"" Green"",""""),if(REGEXMATCH(C251,""B""),"" Blue"",""""),if(REGEXMATCH(C251,""P""),"" "&amp;"Purple"",""""))")," Blue")</f>
        <v>Blue</v>
      </c>
      <c r="U251" s="4" t="str">
        <f>IFERROR(__xludf.DUMMYFUNCTION("TRIM(CONCAT(""[right]"", REGEXREPLACE(C251, ""([ROYGBPXZC_]|1?[0-9])"", ""[img=119]res://textures/icons/$0.png[/img]\\n"")))"),"[right][img=119]res://textures/icons/B.png[/img]\n")</f>
        <v>[right][img=119]res://textures/icons/B.png[/img]\n</v>
      </c>
      <c r="V251" s="4" t="str">
        <f>IFERROR(__xludf.DUMMYFUNCTION("SUBSTITUTE(SUBSTITUTE(SUBSTITUTE(SUBSTITUTE(REGEXREPLACE(SUBSTITUTE(SUBSTITUTE(SUBSTITUTE(SUBSTITUTE(REGEXREPLACE(I251, ""(\[([ROYGBPTQUXZC_]|1?[0-9])\])"", ""[img=45]res://textures/icons/$2.png[/img]""),""--"",""—""),""-&gt;"",""•""),""~@"", CONCATENATE(""["&amp;"i]"",REGEXEXTRACT(B251,""^([\s\S]*),|$""),""[/i]"")),""~"", CONCATENATE(""[i]"",B251,""[/i]"")),""(\([\s\S]*?\))"",""[i][color=#34343A]$0[/color][/i]""), ""&lt;"", ""[""), ""&gt;"", ""]""), ""[/p][p]"", ""[font_size=15]\n\n[/font_size]""), ""[br/]"", ""\n"")"),"[center][i][color=#34343A](Becomes [i]'Answer to Prayers'[/i] if you already control [i]Crystal Waters, Anti-Trafficker[/i].)[/color][/i][/center][p]Whenever a Child or Civilian intercepts or [u]dies[/u] [i][color=#34343A](Enters a discard from the battle"&amp;"field)[/color][/i], shuffle a [i]'Tip'[/i] into your deck [i][color=#34343A](only create one [i]'Tip'[/i] if it died while intercepting.)[/color][/i][font_size=15]\n\n[/font_size][b][i]As Asset[/i] —[/b] Whenever you deploy a Clue, until end of turn, comb"&amp;"atants you control can't be chosen by cards with the energy type of your choice.[/p]")</f>
        <v xml:space="preserve">[center][i][color=#34343A](Becomes [i]'Answer to Prayers'[/i] if you already control [i]Crystal Waters, Anti-Trafficker[/i].)[/color][/i][/center][p]Whenever a Child or Civilian intercepts or [u]dies[/u] [i][color=#34343A](Enters a discard from the battlefield)[/color][/i], shuffle a [i]'Tip'[/i] into your deck [i][color=#34343A](only create one [i]'Tip'[/i] if it died while intercepting.)[/color][/i][font_size=15]\n\n[/font_size][b][i]As Asset[/i] —[/b] Whenever you deploy a Clue, until end of turn, combatants you control can't be chosen by cards with the energy type of your choice.[/p]</v>
      </c>
      <c r="W251" s="4" t="str">
        <f t="shared" si="12"/>
        <v>[i]Commander[/i]</v>
      </c>
      <c r="X251" s="4" t="str">
        <f t="shared" si="13"/>
        <v>RT_B_CMDR_2</v>
      </c>
    </row>
    <row r="252" outlineLevel="1">
      <c r="A252" s="1" t="s">
        <v>981</v>
      </c>
      <c r="B252" s="1" t="s">
        <v>982</v>
      </c>
      <c r="C252" s="2" t="s">
        <v>903</v>
      </c>
      <c r="D252" s="6" t="str">
        <f>IFERROR(__xludf.DUMMYFUNCTION("IF(EQ(A252,B252),"""",SWITCH(IF(T252="""",0,COUNTA(SPLIT(T252,"" ""))),0,""Generic"",1,TRIM(T252),2,""Multicolor"",3,""Multicolor"",4,""Multicolor"",5,""Multicolor"",6,""Multicolor"",7,""Multicolor"",8,""Multicolor""))"),"Blue")</f>
        <v>Blue</v>
      </c>
      <c r="E252" s="1"/>
      <c r="F252" s="1" t="s">
        <v>87</v>
      </c>
      <c r="G252" s="1" t="s">
        <v>983</v>
      </c>
      <c r="H252" s="2" t="s">
        <v>25</v>
      </c>
      <c r="I252" s="3" t="s">
        <v>984</v>
      </c>
      <c r="J252" s="3"/>
      <c r="O252" s="3"/>
      <c r="Q252" s="1">
        <v>50</v>
      </c>
      <c r="R252" s="1">
        <v>50</v>
      </c>
      <c r="S252" s="4" t="str">
        <f t="shared" si="11"/>
        <v>False</v>
      </c>
      <c r="T252" s="4" t="str">
        <f>IFERROR(__xludf.DUMMYFUNCTION("CONCATENATE(if(REGEXMATCH(C252,""R""),"" Red"",""""),if(REGEXMATCH(C252,""O""),"" Orange"",""""),if(REGEXMATCH(C252,""Y""),"" Yellow"",""""),if(REGEXMATCH(C252,""G""),"" Green"",""""),if(REGEXMATCH(C252,""B""),"" Blue"",""""),if(REGEXMATCH(C252,""P""),"" "&amp;"Purple"",""""))")," Blue")</f>
        <v>Blue</v>
      </c>
      <c r="U252" s="4" t="str">
        <f>IFERROR(__xludf.DUMMYFUNCTION("TRIM(CONCAT(""[right]"", REGEXREPLACE(C252, ""([ROYGBPXZC_]|1?[0-9])"", ""[img=119]res://textures/icons/$0.png[/img]\\n"")))"),"[right][img=119]res://textures/icons/2.png[/img]\n[img=119]res://textures/icons/B.png[/img]\n")</f>
        <v>[right][img=119]res://textures/icons/2.png[/img]\n[img=119]res://textures/icons/B.png[/img]\n</v>
      </c>
      <c r="V252" s="4" t="str">
        <f>IFERROR(__xludf.DUMMYFUNCTION("SUBSTITUTE(SUBSTITUTE(SUBSTITUTE(SUBSTITUTE(REGEXREPLACE(SUBSTITUTE(SUBSTITUTE(SUBSTITUTE(SUBSTITUTE(REGEXREPLACE(I252, ""(\[([ROYGBPTQUXZC_]|1?[0-9])\])"", ""[img=45]res://textures/icons/$2.png[/img]""),""--"",""—""),""-&gt;"",""•""),""~@"", CONCATENATE(""["&amp;"i]"",REGEXEXTRACT(B252,""^([\s\S]*),|$""),""[/i]"")),""~"", CONCATENATE(""[i]"",B252,""[/i]"")),""(\([\s\S]*?\))"",""[i][color=#34343A]$0[/color][/i]""), ""&lt;"", ""[""), ""&gt;"", ""]""), ""[/p][p]"", ""[font_size=15]\n\n[/font_size]""), ""[br/]"", ""\n"")"),"[center][i][color=#34343A](This effect can only be deployed if you control a renowned asset. Banked energy can't be spent to deploy renowned cards.)[/color][/i][/center][p]Choose a combatant; [u]fully Heal[/u] [i][color=#34343A](Remove all attack power an"&amp;"d health reductions, and all damage from the specified asset.)[/color][/i] that combatant. Until end of turn, it can't be chosen or damaged.[font_size=15]\n\n[/font_size][u]Personal[/u] [i][color=#34343A](Shuffle [i]'Crystal Waters, Anti-Trafficker'[/i] i"&amp;"nto your deck.)[/color][/i][/p]")</f>
        <v xml:space="preserve">[center][i][color=#34343A](This effect can only be deployed if you control a renowned asset. Banked energy can't be spent to deploy renowned cards.)[/color][/i][/center][p]Choose a combatant; [u]fully Heal[/u] [i][color=#34343A](Remove all attack power and health reductions, and all damage from the specified asset.)[/color][/i] that combatant. Until end of turn, it can't be chosen or damaged.[font_size=15]\n\n[/font_size][u]Personal[/u] [i][color=#34343A](Shuffle [i]'Crystal Waters, Anti-Trafficker'[/i] into your deck.)[/color][/i][/p]</v>
      </c>
      <c r="W252" s="4" t="str">
        <f t="shared" si="12"/>
        <v xml:space="preserve">[i]R. Effect[/i]</v>
      </c>
      <c r="X252" s="4" t="str">
        <f t="shared" si="13"/>
        <v>RT_B_CMDR_2b</v>
      </c>
    </row>
    <row r="253" outlineLevel="1">
      <c r="A253" s="1" t="s">
        <v>985</v>
      </c>
      <c r="B253" s="1" t="s">
        <v>986</v>
      </c>
      <c r="C253" s="1" t="s">
        <v>987</v>
      </c>
      <c r="D253" s="6" t="str">
        <f>IFERROR(__xludf.DUMMYFUNCTION("IF(EQ(A253,B253),"""",SWITCH(IF(T253="""",0,COUNTA(SPLIT(T253,"" ""))),0,""Generic"",1,TRIM(T253),2,""Multicolor"",3,""Multicolor"",4,""Multicolor"",5,""Multicolor"",6,""Multicolor"",7,""Multicolor"",8,""Multicolor""))"),"Blue")</f>
        <v>Blue</v>
      </c>
      <c r="F253" s="1" t="s">
        <v>87</v>
      </c>
      <c r="H253" s="1">
        <v>9</v>
      </c>
      <c r="I253" s="11" t="s">
        <v>988</v>
      </c>
      <c r="J253" s="3"/>
      <c r="O253" s="3"/>
      <c r="Q253" s="1">
        <v>45</v>
      </c>
      <c r="R253" s="1">
        <v>50</v>
      </c>
      <c r="S253" s="4" t="str">
        <f t="shared" si="11"/>
        <v>False</v>
      </c>
      <c r="T253" s="4" t="str">
        <f>IFERROR(__xludf.DUMMYFUNCTION("CONCATENATE(if(REGEXMATCH(C253,""R""),"" Red"",""""),if(REGEXMATCH(C253,""O""),"" Orange"",""""),if(REGEXMATCH(C253,""Y""),"" Yellow"",""""),if(REGEXMATCH(C253,""G""),"" Green"",""""),if(REGEXMATCH(C253,""B""),"" Blue"",""""),if(REGEXMATCH(C253,""P""),"" "&amp;"Purple"",""""))")," Blue")</f>
        <v>Blue</v>
      </c>
      <c r="U253" s="4" t="str">
        <f>IFERROR(__xludf.DUMMYFUNCTION("TRIM(CONCAT(""[right]"", REGEXREPLACE(C253, ""([ROYGBPXZC_]|1?[0-9])"", ""[img=119]res://textures/icons/$0.png[/img]\\n"")))"),"[right][img=119]res://textures/icons/4.png[/img]\n[img=119]res://textures/icons/B.png[/img]\n[img=119]res://textures/icons/B.png[/img]\n[img=119]res://textures/icons/B.png[/img]\n")</f>
        <v>[right][img=119]res://textures/icons/4.png[/img]\n[img=119]res://textures/icons/B.png[/img]\n[img=119]res://textures/icons/B.png[/img]\n[img=119]res://textures/icons/B.png[/img]\n</v>
      </c>
      <c r="V253" s="4" t="str">
        <f>IFERROR(__xludf.DUMMYFUNCTION("SUBSTITUTE(SUBSTITUTE(SUBSTITUTE(SUBSTITUTE(REGEXREPLACE(SUBSTITUTE(SUBSTITUTE(SUBSTITUTE(SUBSTITUTE(REGEXREPLACE(I253, ""(\[([ROYGBPTQUXZC_]|1?[0-9])\])"", ""[img=45]res://textures/icons/$2.png[/img]""),""--"",""—""),""-&gt;"",""•""),""~@"", CONCATENATE(""["&amp;"i]"",REGEXEXTRACT(B253,""^([\s\S]*),|$""),""[/i]"")),""~"", CONCATENATE(""[i]"",B253,""[/i]"")),""(\([\s\S]*?\))"",""[i][color=#34343A]$0[/color][/i]""), ""&lt;"", ""[""), ""&gt;"", ""]""), ""[/p][p]"", ""[font_size=15]\n\n[/font_size]""), ""[br/]"", ""\n"")"),"[center][i][color=#34343A](This effect can only be deployed if you control a renowned asset. Banked energy can't be spent to deploy renowned cards.)[/color][/i][/center][p]Choose any number of combatants to return to their owner's hands.[font_size=15]\n\n"&amp;"[/font_size]Kill all combatants.[/p]")</f>
        <v xml:space="preserve">[center][i][color=#34343A](This effect can only be deployed if you control a renowned asset. Banked energy can't be spent to deploy renowned cards.)[/color][/i][/center][p]Choose any number of combatants to return to their owner's hands.[font_size=15]\n\n[/font_size]Kill all combatants.[/p]</v>
      </c>
      <c r="W253" s="4" t="str">
        <f t="shared" si="12"/>
        <v xml:space="preserve">[i]R. Effect[/i]</v>
      </c>
      <c r="X253" s="4" t="str">
        <f t="shared" si="13"/>
        <v>RT_BR_005</v>
      </c>
    </row>
    <row r="254" outlineLevel="1">
      <c r="A254" s="1" t="s">
        <v>989</v>
      </c>
      <c r="B254" s="16" t="s">
        <v>990</v>
      </c>
      <c r="C254" s="2" t="s">
        <v>903</v>
      </c>
      <c r="D254" s="6" t="str">
        <f>IFERROR(__xludf.DUMMYFUNCTION("IF(EQ(A254,B254),"""",SWITCH(IF(T254="""",0,COUNTA(SPLIT(T254,"" ""))),0,""Generic"",1,TRIM(T254),2,""Multicolor"",3,""Multicolor"",4,""Multicolor"",5,""Multicolor"",6,""Multicolor"",7,""Multicolor"",8,""Multicolor""))"),"Blue")</f>
        <v>Blue</v>
      </c>
      <c r="E254" s="1"/>
      <c r="F254" s="1" t="s">
        <v>33</v>
      </c>
      <c r="H254" s="2" t="s">
        <v>81</v>
      </c>
      <c r="I254" s="3" t="s">
        <v>991</v>
      </c>
      <c r="J254" s="3"/>
      <c r="O254" s="3"/>
      <c r="Q254" s="1">
        <v>50</v>
      </c>
      <c r="R254" s="1">
        <v>50</v>
      </c>
      <c r="S254" s="4" t="str">
        <f t="shared" si="11"/>
        <v>False</v>
      </c>
      <c r="T254" s="4" t="str">
        <f>IFERROR(__xludf.DUMMYFUNCTION("CONCATENATE(if(REGEXMATCH(C254,""R""),"" Red"",""""),if(REGEXMATCH(C254,""O""),"" Orange"",""""),if(REGEXMATCH(C254,""Y""),"" Yellow"",""""),if(REGEXMATCH(C254,""G""),"" Green"",""""),if(REGEXMATCH(C254,""B""),"" Blue"",""""),if(REGEXMATCH(C254,""P""),"" "&amp;"Purple"",""""))")," Blue")</f>
        <v>Blue</v>
      </c>
      <c r="U254" s="4" t="str">
        <f>IFERROR(__xludf.DUMMYFUNCTION("TRIM(CONCAT(""[right]"", REGEXREPLACE(C254, ""([ROYGBPXZC_]|1?[0-9])"", ""[img=119]res://textures/icons/$0.png[/img]\\n"")))"),"[right][img=119]res://textures/icons/2.png[/img]\n[img=119]res://textures/icons/B.png[/img]\n")</f>
        <v>[right][img=119]res://textures/icons/2.png[/img]\n[img=119]res://textures/icons/B.png[/img]\n</v>
      </c>
      <c r="V254" s="4" t="str">
        <f>IFERROR(__xludf.DUMMYFUNCTION("SUBSTITUTE(SUBSTITUTE(SUBSTITUTE(SUBSTITUTE(REGEXREPLACE(SUBSTITUTE(SUBSTITUTE(SUBSTITUTE(SUBSTITUTE(REGEXREPLACE(I254, ""(\[([ROYGBPTQUXZC_]|1?[0-9])\])"", ""[img=45]res://textures/icons/$2.png[/img]""),""--"",""—""),""-&gt;"",""•""),""~@"", CONCATENATE(""["&amp;"i]"",REGEXEXTRACT(B254,""^([\s\S]*),|$""),""[/i]"")),""~"", CONCATENATE(""[i]"",B254,""[/i]"")),""(\([\s\S]*?\))"",""[i][color=#34343A]$0[/color][/i]""), ""&lt;"", ""[""), ""&gt;"", ""]""), ""[/p][p]"", ""[font_size=15]\n\n[/font_size]""), ""[br/]"", ""\n"")"),"[p]Chose an opponent, then choose one:[ul]Choose an asset you control, the chosen opponent gains control of that asset.\nChoose a card in your hand, put that card into the chosen opponent's hand.[/ul][font_size=15]\n\n[/font_size]Shuffle a [i]'Tip'[/i] in"&amp;"to your deck.[/p]")</f>
        <v xml:space="preserve">[p]Chose an opponent, then choose one:[ul]Choose an asset you control, the chosen opponent gains control of that asset.\nChoose a card in your hand, put that card into the chosen opponent's hand.[/ul][font_size=15]\n\n[/font_size]Shuffle a [i]'Tip'[/i] into your deck.[/p]</v>
      </c>
      <c r="W254" s="4" t="str">
        <f t="shared" si="12"/>
        <v>[i]Effect[/i]</v>
      </c>
      <c r="X254" s="4" t="str">
        <f t="shared" si="13"/>
        <v>RT_BR_006</v>
      </c>
    </row>
    <row r="255" outlineLevel="1">
      <c r="A255" s="1" t="s">
        <v>992</v>
      </c>
      <c r="B255" s="1" t="s">
        <v>993</v>
      </c>
      <c r="C255" s="2" t="s">
        <v>898</v>
      </c>
      <c r="D255" s="6" t="str">
        <f>IFERROR(__xludf.DUMMYFUNCTION("IF(EQ(A255,B255),"""",SWITCH(IF(T255="""",0,COUNTA(SPLIT(T255,"" ""))),0,""Generic"",1,TRIM(T255),2,""Multicolor"",3,""Multicolor"",4,""Multicolor"",5,""Multicolor"",6,""Multicolor"",7,""Multicolor"",8,""Multicolor""))"),"Blue")</f>
        <v>Blue</v>
      </c>
      <c r="E255" s="1" t="s">
        <v>51</v>
      </c>
      <c r="F255" s="1" t="s">
        <v>26</v>
      </c>
      <c r="G255" s="1" t="s">
        <v>994</v>
      </c>
      <c r="H255" s="2" t="s">
        <v>81</v>
      </c>
      <c r="I255" s="3" t="s">
        <v>995</v>
      </c>
      <c r="J255" s="3"/>
      <c r="K255" s="1">
        <v>6</v>
      </c>
      <c r="L255" s="1">
        <v>5</v>
      </c>
      <c r="O255" s="3"/>
      <c r="Q255" s="1">
        <v>60</v>
      </c>
      <c r="R255" s="1">
        <v>35</v>
      </c>
      <c r="S255" s="4" t="str">
        <f t="shared" si="11"/>
        <v>True</v>
      </c>
      <c r="T255" s="4" t="str">
        <f>IFERROR(__xludf.DUMMYFUNCTION("CONCATENATE(if(REGEXMATCH(C255,""R""),"" Red"",""""),if(REGEXMATCH(C255,""O""),"" Orange"",""""),if(REGEXMATCH(C255,""Y""),"" Yellow"",""""),if(REGEXMATCH(C255,""G""),"" Green"",""""),if(REGEXMATCH(C255,""B""),"" Blue"",""""),if(REGEXMATCH(C255,""P""),"" "&amp;"Purple"",""""))")," Blue")</f>
        <v>Blue</v>
      </c>
      <c r="U255" s="4" t="str">
        <f>IFERROR(__xludf.DUMMYFUNCTION("TRIM(CONCAT(""[right]"", REGEXREPLACE(C255, ""([ROYGBPXZC_]|1?[0-9])"", ""[img=119]res://textures/icons/$0.png[/img]\\n"")))"),"[right][img=119]res://textures/icons/2.png[/img]\n[img=119]res://textures/icons/B.png[/img]\n[img=119]res://textures/icons/B.png[/img]\n")</f>
        <v>[right][img=119]res://textures/icons/2.png[/img]\n[img=119]res://textures/icons/B.png[/img]\n[img=119]res://textures/icons/B.png[/img]\n</v>
      </c>
      <c r="V255" s="4" t="str">
        <f>IFERROR(__xludf.DUMMYFUNCTION("SUBSTITUTE(SUBSTITUTE(SUBSTITUTE(SUBSTITUTE(REGEXREPLACE(SUBSTITUTE(SUBSTITUTE(SUBSTITUTE(SUBSTITUTE(REGEXREPLACE(I255, ""(\[([ROYGBPTQUXZC_]|1?[0-9])\])"", ""[img=45]res://textures/icons/$2.png[/img]""),""--"",""—""),""-&gt;"",""•""),""~@"", CONCATENATE(""["&amp;"i]"",REGEXEXTRACT(B255,""^([\s\S]*),|$""),""[/i]"")),""~"", CONCATENATE(""[i]"",B255,""[/i]"")),""(\([\s\S]*?\))"",""[i][color=#34343A]$0[/color][/i]""), ""&lt;"", ""[""), ""&gt;"", ""]""), ""[/p][p]"", ""[font_size=15]\n\n[/font_size]""), ""[br/]"", ""\n"")"),"[center]Effects cost [img=45]res://textures/icons/1.png[/img] more to deploy.[/center]")</f>
        <v xml:space="preserve">[center]Effects cost [img=45]res://textures/icons/1.png[/img] more to deploy.[/center]</v>
      </c>
      <c r="W255" s="4" t="str">
        <f t="shared" si="12"/>
        <v>[i]Asset[/i]</v>
      </c>
      <c r="X255" s="4" t="str">
        <f t="shared" si="13"/>
        <v>RT_BR_007</v>
      </c>
      <c r="Y255" s="4"/>
      <c r="Z255" s="4"/>
      <c r="AA255" s="4"/>
      <c r="AB255" s="4"/>
    </row>
    <row r="256" outlineLevel="1">
      <c r="A256" s="1" t="s">
        <v>996</v>
      </c>
      <c r="B256" s="1" t="s">
        <v>997</v>
      </c>
      <c r="C256" s="2" t="s">
        <v>56</v>
      </c>
      <c r="D256" s="6" t="str">
        <f>IFERROR(__xludf.DUMMYFUNCTION("IF(EQ(A256,B256),"""",SWITCH(IF(T256="""",0,COUNTA(SPLIT(T256,"" ""))),0,""Generic"",1,TRIM(T256),2,""Multicolor"",3,""Multicolor"",4,""Multicolor"",5,""Multicolor"",6,""Multicolor"",7,""Multicolor"",8,""Multicolor""))"),"Blue")</f>
        <v>Blue</v>
      </c>
      <c r="E256" s="1" t="s">
        <v>51</v>
      </c>
      <c r="F256" s="1" t="s">
        <v>26</v>
      </c>
      <c r="G256" s="1" t="s">
        <v>273</v>
      </c>
      <c r="H256" s="2" t="s">
        <v>129</v>
      </c>
      <c r="I256" s="3" t="s">
        <v>998</v>
      </c>
      <c r="J256" s="3"/>
      <c r="K256" s="1">
        <v>3</v>
      </c>
      <c r="L256" s="1">
        <v>3</v>
      </c>
      <c r="O256" s="3"/>
      <c r="Q256" s="1">
        <v>60</v>
      </c>
      <c r="R256" s="1">
        <v>50</v>
      </c>
      <c r="S256" s="4" t="str">
        <f t="shared" si="11"/>
        <v>True</v>
      </c>
      <c r="T256" s="4" t="str">
        <f>IFERROR(__xludf.DUMMYFUNCTION("CONCATENATE(if(REGEXMATCH(C256,""R""),"" Red"",""""),if(REGEXMATCH(C256,""O""),"" Orange"",""""),if(REGEXMATCH(C256,""Y""),"" Yellow"",""""),if(REGEXMATCH(C256,""G""),"" Green"",""""),if(REGEXMATCH(C256,""B""),"" Blue"",""""),if(REGEXMATCH(C256,""P""),"" "&amp;"Purple"",""""))")," Blue")</f>
        <v>Blue</v>
      </c>
      <c r="U256" s="4" t="str">
        <f>IFERROR(__xludf.DUMMYFUNCTION("TRIM(CONCAT(""[right]"", REGEXREPLACE(C256, ""([ROYGBPXZC_]|1?[0-9])"", ""[img=119]res://textures/icons/$0.png[/img]\\n"")))"),"[right][img=119]res://textures/icons/B.png[/img]\n[img=119]res://textures/icons/B.png[/img]\n")</f>
        <v>[right][img=119]res://textures/icons/B.png[/img]\n[img=119]res://textures/icons/B.png[/img]\n</v>
      </c>
      <c r="V256" s="4" t="str">
        <f>IFERROR(__xludf.DUMMYFUNCTION("SUBSTITUTE(SUBSTITUTE(SUBSTITUTE(SUBSTITUTE(REGEXREPLACE(SUBSTITUTE(SUBSTITUTE(SUBSTITUTE(SUBSTITUTE(REGEXREPLACE(I256, ""(\[([ROYGBPTQUXZC_]|1?[0-9])\])"", ""[img=45]res://textures/icons/$2.png[/img]""),""--"",""—""),""-&gt;"",""•""),""~@"", CONCATENATE(""["&amp;"i]"",REGEXEXTRACT(B256,""^([\s\S]*),|$""),""[/i]"")),""~"", CONCATENATE(""[i]"",B256,""[/i]"")),""(\([\s\S]*?\))"",""[i][color=#34343A]$0[/color][/i]""), ""&lt;"", ""[""), ""&gt;"", ""]""), ""[/p][p]"", ""[font_size=15]\n\n[/font_size]""), ""[br/]"", ""\n"")"),"Whenever your opponent draws any number of cards, create a [i]'Savings'[/i] in your hand unless they pay [i]Penny Pincher[/i]'s [u]generalized cost[/u] [i][color=#34343A](The cost of the card if all typed symbols were replaced with generic numbers. E.x. P"&amp;"enny Pincher has a generalized cost of [img=45]res://textures/icons/2.png[/img].)[/color][/i].")</f>
        <v xml:space="preserve">Whenever your opponent draws any number of cards, create a [i]'Savings'[/i] in your hand unless they pay [i]Penny Pincher[/i]'s [u]generalized cost[/u] [i][color=#34343A](The cost of the card if all typed symbols were replaced with generic numbers. E.x. Penny Pincher has a generalized cost of [img=45]res://textures/icons/2.png[/img].)[/color][/i].</v>
      </c>
      <c r="W256" s="4" t="str">
        <f t="shared" si="12"/>
        <v>[i]Asset[/i]</v>
      </c>
      <c r="X256" s="4" t="str">
        <f t="shared" si="13"/>
        <v>RT_BR_008</v>
      </c>
    </row>
    <row r="257" outlineLevel="1">
      <c r="A257" s="1" t="s">
        <v>999</v>
      </c>
      <c r="B257" s="4" t="s">
        <v>1000</v>
      </c>
      <c r="C257" s="5" t="s">
        <v>903</v>
      </c>
      <c r="D257" s="6" t="str">
        <f>IFERROR(__xludf.DUMMYFUNCTION("IF(ISBLANK(A257),"""",SWITCH(IF(T257="""",0,COUNTA(SPLIT(T257,"" ""))),0,""Generic"",1,TRIM(T257),2,""Multicolor"",3,""Multicolor"",4,""Multicolor"",5,""Multicolor"",6,""Multicolor"",7,""Multicolor"",8,""Multicolor""))"),"Blue")</f>
        <v>Blue</v>
      </c>
      <c r="E257" s="4"/>
      <c r="F257" s="4" t="s">
        <v>33</v>
      </c>
      <c r="G257" s="4"/>
      <c r="H257" s="5" t="s">
        <v>129</v>
      </c>
      <c r="I257" s="3" t="s">
        <v>1001</v>
      </c>
      <c r="J257" s="7" t="s">
        <v>1002</v>
      </c>
      <c r="O257" s="3"/>
      <c r="Q257" s="1">
        <v>60</v>
      </c>
      <c r="R257" s="1">
        <v>50</v>
      </c>
      <c r="S257" s="4" t="str">
        <f t="shared" si="11"/>
        <v>False</v>
      </c>
      <c r="T257" s="4" t="str">
        <f>IFERROR(__xludf.DUMMYFUNCTION("CONCATENATE(if(REGEXMATCH(C257,""R""),"" Red"",""""),if(REGEXMATCH(C257,""O""),"" Orange"",""""),if(REGEXMATCH(C257,""Y""),"" Yellow"",""""),if(REGEXMATCH(C257,""G""),"" Green"",""""),if(REGEXMATCH(C257,""B""),"" Blue"",""""),if(REGEXMATCH(C257,""P""),"" "&amp;"Purple"",""""))")," Blue")</f>
        <v>Blue</v>
      </c>
      <c r="U257" s="4" t="str">
        <f>IFERROR(__xludf.DUMMYFUNCTION("TRIM(CONCAT(""[right]"", REGEXREPLACE(C257, ""([ROYGBPXZC_]|1?[0-9])"", ""[img=119]res://textures/icons/$0.png[/img]\\n"")))"),"[right][img=119]res://textures/icons/2.png[/img]\n[img=119]res://textures/icons/B.png[/img]\n")</f>
        <v>[right][img=119]res://textures/icons/2.png[/img]\n[img=119]res://textures/icons/B.png[/img]\n</v>
      </c>
      <c r="V257" s="4" t="str">
        <f>IFERROR(__xludf.DUMMYFUNCTION("SUBSTITUTE(SUBSTITUTE(SUBSTITUTE(SUBSTITUTE(REGEXREPLACE(SUBSTITUTE(SUBSTITUTE(SUBSTITUTE(SUBSTITUTE(REGEXREPLACE(I257, ""(\[([ROYGBPTQUXZC_]|1?[0-9])\])"", ""[img=45]res://textures/icons/$2.png[/img]""),""--"",""—""),""-&gt;"",""•""),""~@"", CONCATENATE(""["&amp;"i]"",REGEXEXTRACT(B257,""^([\s\S]*),|$""),""[/i]"")),""~"", CONCATENATE(""[i]"",B257,""[/i]"")),""(\([\s\S]*?\))"",""[i][color=#34343A]$0[/color][/i]""), ""&lt;"", ""[""), ""&gt;"", ""]""), ""[/p][p]"", ""[font_size=15]\n\n[/font_size]""), ""[br/]"", ""\n"")"),"[center][u]Exchange [img=45]res://textures/icons/1.png[/img][/u] [i][color=#34343A](Pay [img=45]res://textures/icons/1.png[/img], Discard [i]Redistribution[/i] from your hand: Draw a card.)[/color][/i][/center][p]Each player may draw up to 3 cards. Their "&amp;"commanders gain 4 loyalty for each card they don't draw.[/p]")</f>
        <v xml:space="preserve">[center][u]Exchange [img=45]res://textures/icons/1.png[/img][/u] [i][color=#34343A](Pay [img=45]res://textures/icons/1.png[/img], Discard [i]Redistribution[/i] from your hand: Draw a card.)[/color][/i][/center][p]Each player may draw up to 3 cards. Their commanders gain 4 loyalty for each card they don't draw.[/p]</v>
      </c>
      <c r="W257" s="4" t="str">
        <f t="shared" si="12"/>
        <v>[i]Effect[/i]</v>
      </c>
      <c r="X257" s="4" t="str">
        <f t="shared" si="13"/>
        <v>RT_BU_009</v>
      </c>
    </row>
    <row r="258" outlineLevel="1">
      <c r="A258" s="1" t="s">
        <v>1003</v>
      </c>
      <c r="B258" s="4" t="s">
        <v>1004</v>
      </c>
      <c r="C258" s="5" t="s">
        <v>893</v>
      </c>
      <c r="D258" s="6" t="str">
        <f>IFERROR(__xludf.DUMMYFUNCTION("IF(EQ(A258,B258),"""",SWITCH(IF(T258="""",0,COUNTA(SPLIT(T258,"" ""))),0,""Generic"",1,TRIM(T258),2,""Multicolor"",3,""Multicolor"",4,""Multicolor"",5,""Multicolor"",6,""Multicolor"",7,""Multicolor"",8,""Multicolor""))"),"Blue")</f>
        <v>Blue</v>
      </c>
      <c r="E258" s="4"/>
      <c r="F258" s="4" t="s">
        <v>26</v>
      </c>
      <c r="G258" s="4" t="s">
        <v>1005</v>
      </c>
      <c r="H258" s="5" t="s">
        <v>129</v>
      </c>
      <c r="I258" s="7" t="s">
        <v>1006</v>
      </c>
      <c r="J258" s="3"/>
      <c r="O258" s="3"/>
      <c r="Q258" s="1">
        <v>45</v>
      </c>
      <c r="R258" s="1">
        <v>45</v>
      </c>
      <c r="S258" s="4" t="str">
        <f t="shared" ref="S258:S321" si="16">IF(ISBLANK(A258),"",IF(EQ(LEN(TRIM(K258)),0),"False","True"))</f>
        <v>False</v>
      </c>
      <c r="T258" s="4" t="str">
        <f>IFERROR(__xludf.DUMMYFUNCTION("CONCATENATE(if(REGEXMATCH(C258,""R""),"" Red"",""""),if(REGEXMATCH(C258,""O""),"" Orange"",""""),if(REGEXMATCH(C258,""Y""),"" Yellow"",""""),if(REGEXMATCH(C258,""G""),"" Green"",""""),if(REGEXMATCH(C258,""B""),"" Blue"",""""),if(REGEXMATCH(C258,""P""),"" "&amp;"Purple"",""""))")," Blue")</f>
        <v>Blue</v>
      </c>
      <c r="U258" s="4" t="str">
        <f>IFERROR(__xludf.DUMMYFUNCTION("TRIM(CONCAT(""[right]"", REGEXREPLACE(C258, ""([ROYGBPXZC_]|1?[0-9])"", ""[img=119]res://textures/icons/$0.png[/img]\\n"")))"),"[right][img=119]res://textures/icons/1.png[/img]\n[img=119]res://textures/icons/B.png[/img]\n[img=119]res://textures/icons/B.png[/img]\n")</f>
        <v>[right][img=119]res://textures/icons/1.png[/img]\n[img=119]res://textures/icons/B.png[/img]\n[img=119]res://textures/icons/B.png[/img]\n</v>
      </c>
      <c r="V258" s="4" t="str">
        <f>IFERROR(__xludf.DUMMYFUNCTION("SUBSTITUTE(SUBSTITUTE(SUBSTITUTE(SUBSTITUTE(REGEXREPLACE(SUBSTITUTE(SUBSTITUTE(SUBSTITUTE(SUBSTITUTE(REGEXREPLACE(I258, ""(\[([ROYGBPTQUXZC_]|1?[0-9])\])"", ""[img=45]res://textures/icons/$2.png[/img]""),""--"",""—""),""-&gt;"",""•""),""~@"", CONCATENATE(""["&amp;"i]"",REGEXEXTRACT(B258,""^([\s\S]*),|$""),""[/i]"")),""~"", CONCATENATE(""[i]"",B258,""[/i]"")),""(\([\s\S]*?\))"",""[i][color=#34343A]$0[/color][/i]""), ""&lt;"", ""[""), ""&gt;"", ""]""), ""[/p][p]"", ""[font_size=15]\n\n[/font_size]""), ""[br/]"", ""\n"")"),"[center][u]Retribution[/u] [i][color=#34343A](When you draw [i]Supernatural Exhaustion[/i] as a result of taking damage, you may deploy it without paying its cost.)[/color][/i][/center][p]Assets enter the battlefield exhausted, unless their controller pay"&amp;"s [img=45]res://textures/icons/2.png[/img].[/p]")</f>
        <v xml:space="preserve">[center][u]Retribution[/u] [i][color=#34343A](When you draw [i]Supernatural Exhaustion[/i] as a result of taking damage, you may deploy it without paying its cost.)[/color][/i][/center][p]Assets enter the battlefield exhausted, unless their controller pays [img=45]res://textures/icons/2.png[/img].[/p]</v>
      </c>
      <c r="W258" s="4" t="str">
        <f t="shared" ref="W258:W321" si="17">CONCATENATE("[i]",F258,"[/i]")</f>
        <v>[i]Asset[/i]</v>
      </c>
      <c r="X258" s="4" t="str">
        <f t="shared" ref="X258:X321" si="18">IF(EQ(A258,B258),"0",CONCATENATE("RT_",A258))</f>
        <v>RT_BU_010</v>
      </c>
    </row>
    <row r="259" outlineLevel="1">
      <c r="A259" s="1" t="s">
        <v>1007</v>
      </c>
      <c r="B259" s="1" t="s">
        <v>1008</v>
      </c>
      <c r="C259" s="2" t="s">
        <v>61</v>
      </c>
      <c r="D259" s="6" t="str">
        <f>IFERROR(__xludf.DUMMYFUNCTION("IF(EQ(A259,B259),"""",SWITCH(IF(T259="""",0,COUNTA(SPLIT(T259,"" ""))),0,""Generic"",1,TRIM(T259),2,""Multicolor"",3,""Multicolor"",4,""Multicolor"",5,""Multicolor"",6,""Multicolor"",7,""Multicolor"",8,""Multicolor""))"),"Blue")</f>
        <v>Blue</v>
      </c>
      <c r="E259" s="1" t="s">
        <v>51</v>
      </c>
      <c r="F259" s="1" t="s">
        <v>26</v>
      </c>
      <c r="G259" s="1" t="s">
        <v>1009</v>
      </c>
      <c r="H259" s="2" t="s">
        <v>129</v>
      </c>
      <c r="I259" s="7" t="s">
        <v>1010</v>
      </c>
      <c r="J259" s="3" t="s">
        <v>1011</v>
      </c>
      <c r="K259" s="1">
        <v>2</v>
      </c>
      <c r="L259" s="1">
        <v>3</v>
      </c>
      <c r="O259" s="3"/>
      <c r="Q259" s="1">
        <v>60</v>
      </c>
      <c r="R259" s="1">
        <v>50</v>
      </c>
      <c r="S259" s="4" t="str">
        <f t="shared" si="16"/>
        <v>True</v>
      </c>
      <c r="T259" s="4" t="str">
        <f>IFERROR(__xludf.DUMMYFUNCTION("CONCATENATE(if(REGEXMATCH(C259,""R""),"" Red"",""""),if(REGEXMATCH(C259,""O""),"" Orange"",""""),if(REGEXMATCH(C259,""Y""),"" Yellow"",""""),if(REGEXMATCH(C259,""G""),"" Green"",""""),if(REGEXMATCH(C259,""B""),"" Blue"",""""),if(REGEXMATCH(C259,""P""),"" "&amp;"Purple"",""""))")," Blue")</f>
        <v>Blue</v>
      </c>
      <c r="U259" s="4" t="str">
        <f>IFERROR(__xludf.DUMMYFUNCTION("TRIM(CONCAT(""[right]"", REGEXREPLACE(C259, ""([ROYGBPXZC_]|1?[0-9])"", ""[img=119]res://textures/icons/$0.png[/img]\\n"")))"),"[right][img=119]res://textures/icons/B.png[/img]\n")</f>
        <v>[right][img=119]res://textures/icons/B.png[/img]\n</v>
      </c>
      <c r="V259" s="4" t="str">
        <f>IFERROR(__xludf.DUMMYFUNCTION("SUBSTITUTE(SUBSTITUTE(SUBSTITUTE(SUBSTITUTE(REGEXREPLACE(SUBSTITUTE(SUBSTITUTE(SUBSTITUTE(SUBSTITUTE(REGEXREPLACE(I259, ""(\[([ROYGBPTQUXZC_]|1?[0-9])\])"", ""[img=45]res://textures/icons/$2.png[/img]""),""--"",""—""),""-&gt;"",""•""),""~@"", CONCATENATE(""["&amp;"i]"",REGEXEXTRACT(B259,""^([\s\S]*),|$""),""[/i]"")),""~"", CONCATENATE(""[i]"",B259,""[/i]"")),""(\([\s\S]*?\))"",""[i][color=#34343A]$0[/color][/i]""), ""&lt;"", ""[""), ""&gt;"", ""]""), ""[/p][p]"", ""[font_size=15]\n\n[/font_size]""), ""[br/]"", ""\n"")"),"When [i]Well Fed Snitch[/i] enters the battlefield, shuffle a [i]'Tip'[/i] into your deck.")</f>
        <v xml:space="preserve">When [i]Well Fed Snitch[/i] enters the battlefield, shuffle a [i]'Tip'[/i] into your deck.</v>
      </c>
      <c r="W259" s="4" t="str">
        <f t="shared" si="17"/>
        <v>[i]Asset[/i]</v>
      </c>
      <c r="X259" s="4" t="str">
        <f t="shared" si="18"/>
        <v>RT_BU_011</v>
      </c>
    </row>
    <row r="260" outlineLevel="1">
      <c r="A260" s="1" t="s">
        <v>1012</v>
      </c>
      <c r="B260" s="1" t="s">
        <v>1013</v>
      </c>
      <c r="C260" s="2" t="s">
        <v>893</v>
      </c>
      <c r="D260" s="6" t="str">
        <f>IFERROR(__xludf.DUMMYFUNCTION("IF(EQ(A260,B260),"""",SWITCH(IF(T260="""",0,COUNTA(SPLIT(T260,"" ""))),0,""Generic"",1,TRIM(T260),2,""Multicolor"",3,""Multicolor"",4,""Multicolor"",5,""Multicolor"",6,""Multicolor"",7,""Multicolor"",8,""Multicolor""))"),"Blue")</f>
        <v>Blue</v>
      </c>
      <c r="E260" s="1" t="s">
        <v>51</v>
      </c>
      <c r="F260" s="1" t="s">
        <v>26</v>
      </c>
      <c r="G260" s="1" t="s">
        <v>1014</v>
      </c>
      <c r="H260" s="2" t="s">
        <v>129</v>
      </c>
      <c r="I260" s="3" t="s">
        <v>1015</v>
      </c>
      <c r="J260" s="3" t="s">
        <v>1016</v>
      </c>
      <c r="K260" s="1">
        <v>3</v>
      </c>
      <c r="L260" s="1">
        <v>3</v>
      </c>
      <c r="O260" s="3"/>
      <c r="Q260" s="1">
        <v>45</v>
      </c>
      <c r="R260" s="1">
        <v>50</v>
      </c>
      <c r="S260" s="4" t="str">
        <f t="shared" si="16"/>
        <v>True</v>
      </c>
      <c r="T260" s="4" t="str">
        <f>IFERROR(__xludf.DUMMYFUNCTION("CONCATENATE(if(REGEXMATCH(C260,""R""),"" Red"",""""),if(REGEXMATCH(C260,""O""),"" Orange"",""""),if(REGEXMATCH(C260,""Y""),"" Yellow"",""""),if(REGEXMATCH(C260,""G""),"" Green"",""""),if(REGEXMATCH(C260,""B""),"" Blue"",""""),if(REGEXMATCH(C260,""P""),"" "&amp;"Purple"",""""))")," Blue")</f>
        <v>Blue</v>
      </c>
      <c r="U260" s="4" t="str">
        <f>IFERROR(__xludf.DUMMYFUNCTION("TRIM(CONCAT(""[right]"", REGEXREPLACE(C260, ""([ROYGBPXZC_]|1?[0-9])"", ""[img=119]res://textures/icons/$0.png[/img]\\n"")))"),"[right][img=119]res://textures/icons/1.png[/img]\n[img=119]res://textures/icons/B.png[/img]\n[img=119]res://textures/icons/B.png[/img]\n")</f>
        <v>[right][img=119]res://textures/icons/1.png[/img]\n[img=119]res://textures/icons/B.png[/img]\n[img=119]res://textures/icons/B.png[/img]\n</v>
      </c>
      <c r="V260" s="4" t="str">
        <f>IFERROR(__xludf.DUMMYFUNCTION("SUBSTITUTE(SUBSTITUTE(SUBSTITUTE(SUBSTITUTE(REGEXREPLACE(SUBSTITUTE(SUBSTITUTE(SUBSTITUTE(SUBSTITUTE(REGEXREPLACE(I260, ""(\[([ROYGBPTQUXZC_]|1?[0-9])\])"", ""[img=45]res://textures/icons/$2.png[/img]""),""--"",""—""),""-&gt;"",""•""),""~@"", CONCATENATE(""["&amp;"i]"",REGEXEXTRACT(B260,""^([\s\S]*),|$""),""[/i]"")),""~"", CONCATENATE(""[i]"",B260,""[/i]"")),""(\([\s\S]*?\))"",""[i][color=#34343A]$0[/color][/i]""), ""&lt;"", ""[""), ""&gt;"", ""]""), ""[/p][p]"", ""[font_size=15]\n\n[/font_size]""), ""[br/]"", ""\n"")"),"[center][u]Unkillable[/u] [i][color=#34343A]([i]Guardian Angel[/i] can't be killed by damage.)[/color][/i][/center]")</f>
        <v xml:space="preserve">[center][u]Unkillable[/u] [i][color=#34343A]([i]Guardian Angel[/i] can't be killed by damage.)[/color][/i][/center]</v>
      </c>
      <c r="W260" s="4" t="str">
        <f t="shared" si="17"/>
        <v>[i]Asset[/i]</v>
      </c>
      <c r="X260" s="4" t="str">
        <f t="shared" si="18"/>
        <v>RT_BU_012</v>
      </c>
    </row>
    <row r="261" outlineLevel="1">
      <c r="A261" s="1" t="s">
        <v>1017</v>
      </c>
      <c r="B261" s="1" t="s">
        <v>1018</v>
      </c>
      <c r="C261" s="2" t="s">
        <v>56</v>
      </c>
      <c r="D261" s="6" t="str">
        <f>IFERROR(__xludf.DUMMYFUNCTION("IF(EQ(A261,B261),"""",SWITCH(IF(T261="""",0,COUNTA(SPLIT(T261,"" ""))),0,""Generic"",1,TRIM(T261),2,""Multicolor"",3,""Multicolor"",4,""Multicolor"",5,""Multicolor"",6,""Multicolor"",7,""Multicolor"",8,""Multicolor""))"),"Blue")</f>
        <v>Blue</v>
      </c>
      <c r="E261" s="1"/>
      <c r="F261" s="1" t="s">
        <v>33</v>
      </c>
      <c r="H261" s="2" t="s">
        <v>129</v>
      </c>
      <c r="I261" s="3" t="s">
        <v>1019</v>
      </c>
      <c r="J261" s="3"/>
      <c r="O261" s="3"/>
      <c r="Q261" s="1">
        <v>50</v>
      </c>
      <c r="R261" s="1">
        <v>50</v>
      </c>
      <c r="S261" s="4" t="str">
        <f t="shared" si="16"/>
        <v>False</v>
      </c>
      <c r="T261" s="4" t="str">
        <f>IFERROR(__xludf.DUMMYFUNCTION("CONCATENATE(if(REGEXMATCH(C261,""R""),"" Red"",""""),if(REGEXMATCH(C261,""O""),"" Orange"",""""),if(REGEXMATCH(C261,""Y""),"" Yellow"",""""),if(REGEXMATCH(C261,""G""),"" Green"",""""),if(REGEXMATCH(C261,""B""),"" Blue"",""""),if(REGEXMATCH(C261,""P""),"" "&amp;"Purple"",""""))")," Blue")</f>
        <v>Blue</v>
      </c>
      <c r="U261" s="4" t="str">
        <f>IFERROR(__xludf.DUMMYFUNCTION("TRIM(CONCAT(""[right]"", REGEXREPLACE(C261, ""([ROYGBPXZC_]|1?[0-9])"", ""[img=119]res://textures/icons/$0.png[/img]\\n"")))"),"[right][img=119]res://textures/icons/B.png[/img]\n[img=119]res://textures/icons/B.png[/img]\n")</f>
        <v>[right][img=119]res://textures/icons/B.png[/img]\n[img=119]res://textures/icons/B.png[/img]\n</v>
      </c>
      <c r="V261" s="4" t="str">
        <f>IFERROR(__xludf.DUMMYFUNCTION("SUBSTITUTE(SUBSTITUTE(SUBSTITUTE(SUBSTITUTE(REGEXREPLACE(SUBSTITUTE(SUBSTITUTE(SUBSTITUTE(SUBSTITUTE(REGEXREPLACE(I261, ""(\[([ROYGBPTQUXZC_]|1?[0-9])\])"", ""[img=45]res://textures/icons/$2.png[/img]""),""--"",""—""),""-&gt;"",""•""),""~@"", CONCATENATE(""["&amp;"i]"",REGEXEXTRACT(B261,""^([\s\S]*),|$""),""[/i]"")),""~"", CONCATENATE(""[i]"",B261,""[/i]"")),""(\([\s\S]*?\))"",""[i][color=#34343A]$0[/color][/i]""), ""&lt;"", ""[""), ""&gt;"", ""]""), ""[/p][p]"", ""[font_size=15]\n\n[/font_size]""), ""[br/]"", ""\n"")"),"Choose anything attached to a combatant; its controller [u]forfeites[/u] [i][color=#34343A](Put the specified cards into their owner's discard.)[/color][/i] it.")</f>
        <v xml:space="preserve">Choose anything attached to a combatant; its controller [u]forfeites[/u] [i][color=#34343A](Put the specified cards into their owner's discard.)[/color][/i] it.</v>
      </c>
      <c r="W261" s="4" t="str">
        <f t="shared" si="17"/>
        <v>[i]Effect[/i]</v>
      </c>
      <c r="X261" s="4" t="str">
        <f t="shared" si="18"/>
        <v>RT_BU_013</v>
      </c>
    </row>
    <row r="262" outlineLevel="1">
      <c r="A262" s="1" t="s">
        <v>1020</v>
      </c>
      <c r="B262" s="1" t="s">
        <v>1021</v>
      </c>
      <c r="C262" s="2" t="s">
        <v>61</v>
      </c>
      <c r="D262" s="6" t="str">
        <f>IFERROR(__xludf.DUMMYFUNCTION("IF(EQ(A262,B262),"""",SWITCH(IF(T262="""",0,COUNTA(SPLIT(T262,"" ""))),0,""Generic"",1,TRIM(T262),2,""Multicolor"",3,""Multicolor"",4,""Multicolor"",5,""Multicolor"",6,""Multicolor"",7,""Multicolor"",8,""Multicolor""))"),"Blue")</f>
        <v>Blue</v>
      </c>
      <c r="E262" s="1" t="s">
        <v>51</v>
      </c>
      <c r="F262" s="1" t="s">
        <v>26</v>
      </c>
      <c r="G262" s="1" t="s">
        <v>632</v>
      </c>
      <c r="H262" s="2" t="s">
        <v>129</v>
      </c>
      <c r="I262" s="3" t="s">
        <v>1022</v>
      </c>
      <c r="J262" s="3"/>
      <c r="K262" s="1">
        <v>1</v>
      </c>
      <c r="L262" s="1">
        <v>1</v>
      </c>
      <c r="O262" s="3"/>
      <c r="Q262" s="1">
        <v>50</v>
      </c>
      <c r="R262" s="1">
        <v>40</v>
      </c>
      <c r="S262" s="4" t="str">
        <f t="shared" si="16"/>
        <v>True</v>
      </c>
      <c r="T262" s="4" t="str">
        <f>IFERROR(__xludf.DUMMYFUNCTION("CONCATENATE(if(REGEXMATCH(C262,""R""),"" Red"",""""),if(REGEXMATCH(C262,""O""),"" Orange"",""""),if(REGEXMATCH(C262,""Y""),"" Yellow"",""""),if(REGEXMATCH(C262,""G""),"" Green"",""""),if(REGEXMATCH(C262,""B""),"" Blue"",""""),if(REGEXMATCH(C262,""P""),"" "&amp;"Purple"",""""))")," Blue")</f>
        <v>Blue</v>
      </c>
      <c r="U262" s="4" t="str">
        <f>IFERROR(__xludf.DUMMYFUNCTION("TRIM(CONCAT(""[right]"", REGEXREPLACE(C262, ""([ROYGBPXZC_]|1?[0-9])"", ""[img=119]res://textures/icons/$0.png[/img]\\n"")))"),"[right][img=119]res://textures/icons/B.png[/img]\n")</f>
        <v>[right][img=119]res://textures/icons/B.png[/img]\n</v>
      </c>
      <c r="V262" s="4" t="str">
        <f>IFERROR(__xludf.DUMMYFUNCTION("SUBSTITUTE(SUBSTITUTE(SUBSTITUTE(SUBSTITUTE(REGEXREPLACE(SUBSTITUTE(SUBSTITUTE(SUBSTITUTE(SUBSTITUTE(REGEXREPLACE(I262, ""(\[([ROYGBPTQUXZC_]|1?[0-9])\])"", ""[img=45]res://textures/icons/$2.png[/img]""),""--"",""—""),""-&gt;"",""•""),""~@"", CONCATENATE(""["&amp;"i]"",REGEXEXTRACT(B262,""^([\s\S]*),|$""),""[/i]"")),""~"", CONCATENATE(""[i]"",B262,""[/i]"")),""(\([\s\S]*?\))"",""[i][color=#34343A]$0[/color][/i]""), ""&lt;"", ""[""), ""&gt;"", ""]""), ""[/p][p]"", ""[font_size=15]\n\n[/font_size]""), ""[br/]"", ""\n"")"),"When [i]Charitable Widow[/i] enters the battlefield, choose one:[ul]Your commander gains 2 loyalty.\nShuffle a [i]'Tip'[/i] into your deck.[/ul]")</f>
        <v xml:space="preserve">When [i]Charitable Widow[/i] enters the battlefield, choose one:[ul]Your commander gains 2 loyalty.\nShuffle a [i]'Tip'[/i] into your deck.[/ul]</v>
      </c>
      <c r="W262" s="4" t="str">
        <f t="shared" si="17"/>
        <v>[i]Asset[/i]</v>
      </c>
      <c r="X262" s="4" t="str">
        <f t="shared" si="18"/>
        <v>RT_BU_014</v>
      </c>
    </row>
    <row r="263" outlineLevel="1">
      <c r="A263" s="1" t="s">
        <v>1023</v>
      </c>
      <c r="B263" s="1" t="s">
        <v>1024</v>
      </c>
      <c r="C263" s="2" t="s">
        <v>898</v>
      </c>
      <c r="D263" s="6" t="str">
        <f>IFERROR(__xludf.DUMMYFUNCTION("IF(EQ(A263,B263),"""",SWITCH(IF(T263="""",0,COUNTA(SPLIT(T263,"" ""))),0,""Generic"",1,TRIM(T263),2,""Multicolor"",3,""Multicolor"",4,""Multicolor"",5,""Multicolor"",6,""Multicolor"",7,""Multicolor"",8,""Multicolor""))"),"Blue")</f>
        <v>Blue</v>
      </c>
      <c r="E263" s="1" t="s">
        <v>51</v>
      </c>
      <c r="F263" s="1" t="s">
        <v>26</v>
      </c>
      <c r="G263" s="1" t="s">
        <v>1025</v>
      </c>
      <c r="H263" s="2" t="s">
        <v>513</v>
      </c>
      <c r="I263" s="3" t="s">
        <v>1026</v>
      </c>
      <c r="J263" s="3"/>
      <c r="K263" s="1">
        <v>4</v>
      </c>
      <c r="L263" s="1">
        <v>4</v>
      </c>
      <c r="O263" s="3"/>
      <c r="Q263" s="1">
        <v>60</v>
      </c>
      <c r="R263" s="1">
        <v>50</v>
      </c>
      <c r="S263" s="4" t="str">
        <f t="shared" si="16"/>
        <v>True</v>
      </c>
      <c r="T263" s="4" t="str">
        <f>IFERROR(__xludf.DUMMYFUNCTION("CONCATENATE(if(REGEXMATCH(C263,""R""),"" Red"",""""),if(REGEXMATCH(C263,""O""),"" Orange"",""""),if(REGEXMATCH(C263,""Y""),"" Yellow"",""""),if(REGEXMATCH(C263,""G""),"" Green"",""""),if(REGEXMATCH(C263,""B""),"" Blue"",""""),if(REGEXMATCH(C263,""P""),"" "&amp;"Purple"",""""))")," Blue")</f>
        <v>Blue</v>
      </c>
      <c r="U263" s="4" t="str">
        <f>IFERROR(__xludf.DUMMYFUNCTION("TRIM(CONCAT(""[right]"", REGEXREPLACE(C263, ""([ROYGBPXZC_]|1?[0-9])"", ""[img=119]res://textures/icons/$0.png[/img]\\n"")))"),"[right][img=119]res://textures/icons/2.png[/img]\n[img=119]res://textures/icons/B.png[/img]\n[img=119]res://textures/icons/B.png[/img]\n")</f>
        <v>[right][img=119]res://textures/icons/2.png[/img]\n[img=119]res://textures/icons/B.png[/img]\n[img=119]res://textures/icons/B.png[/img]\n</v>
      </c>
      <c r="V263" s="4" t="str">
        <f>IFERROR(__xludf.DUMMYFUNCTION("SUBSTITUTE(SUBSTITUTE(SUBSTITUTE(SUBSTITUTE(REGEXREPLACE(SUBSTITUTE(SUBSTITUTE(SUBSTITUTE(SUBSTITUTE(REGEXREPLACE(I263, ""(\[([ROYGBPTQUXZC_]|1?[0-9])\])"", ""[img=45]res://textures/icons/$2.png[/img]""),""--"",""—""),""-&gt;"",""•""),""~@"", CONCATENATE(""["&amp;"i]"",REGEXEXTRACT(B263,""^([\s\S]*),|$""),""[/i]"")),""~"", CONCATENATE(""[i]"",B263,""[/i]"")),""(\([\s\S]*?\))"",""[i][color=#34343A]$0[/color][/i]""), ""&lt;"", ""[""), ""&gt;"", ""]""), ""[/p][p]"", ""[font_size=15]\n\n[/font_size]""), ""[br/]"", ""\n"")"),"[img=45]res://textures/icons/T.png[/img]: Until end of turn, combatants you control gain ""[img=45]res://textures/icons/T.png[/img], Exhaust another combatant you control, the next time it would be refreshed, it isn't: Choose a combatant to exhaust.""")</f>
        <v xml:space="preserve">[img=45]res://textures/icons/T.png[/img]: Until end of turn, combatants you control gain "[img=45]res://textures/icons/T.png[/img], Exhaust another combatant you control, the next time it would be refreshed, it isn't: Choose a combatant to exhaust."</v>
      </c>
      <c r="W263" s="4" t="str">
        <f t="shared" si="17"/>
        <v>[i]Asset[/i]</v>
      </c>
      <c r="X263" s="4" t="str">
        <f t="shared" si="18"/>
        <v>RT_BU_015</v>
      </c>
    </row>
    <row r="264" outlineLevel="1">
      <c r="A264" s="1" t="s">
        <v>1027</v>
      </c>
      <c r="B264" s="1" t="s">
        <v>1028</v>
      </c>
      <c r="C264" s="2" t="s">
        <v>941</v>
      </c>
      <c r="D264" s="6" t="str">
        <f>IFERROR(__xludf.DUMMYFUNCTION("IF(EQ(A264,B264),"""",SWITCH(IF(T264="""",0,COUNTA(SPLIT(T264,"" ""))),0,""Generic"",1,TRIM(T264),2,""Multicolor"",3,""Multicolor"",4,""Multicolor"",5,""Multicolor"",6,""Multicolor"",7,""Multicolor"",8,""Multicolor""))"),"Blue")</f>
        <v>Blue</v>
      </c>
      <c r="E264" s="1" t="s">
        <v>51</v>
      </c>
      <c r="F264" s="1" t="s">
        <v>26</v>
      </c>
      <c r="G264" s="1" t="s">
        <v>1029</v>
      </c>
      <c r="H264" s="2" t="s">
        <v>129</v>
      </c>
      <c r="I264" s="3" t="s">
        <v>1030</v>
      </c>
      <c r="J264" s="3"/>
      <c r="K264" s="1">
        <v>2</v>
      </c>
      <c r="L264" s="1">
        <v>2</v>
      </c>
      <c r="O264" s="3"/>
      <c r="Q264" s="1">
        <v>50</v>
      </c>
      <c r="R264" s="1">
        <v>35</v>
      </c>
      <c r="S264" s="4" t="str">
        <f t="shared" si="16"/>
        <v>True</v>
      </c>
      <c r="T264" s="4" t="str">
        <f>IFERROR(__xludf.DUMMYFUNCTION("CONCATENATE(if(REGEXMATCH(C264,""R""),"" Red"",""""),if(REGEXMATCH(C264,""O""),"" Orange"",""""),if(REGEXMATCH(C264,""Y""),"" Yellow"",""""),if(REGEXMATCH(C264,""G""),"" Green"",""""),if(REGEXMATCH(C264,""B""),"" Blue"",""""),if(REGEXMATCH(C264,""P""),"" "&amp;"Purple"",""""))")," Blue")</f>
        <v>Blue</v>
      </c>
      <c r="U264" s="4" t="str">
        <f>IFERROR(__xludf.DUMMYFUNCTION("TRIM(CONCAT(""[right]"", REGEXREPLACE(C264, ""([ROYGBPXZC_]|1?[0-9])"", ""[img=119]res://textures/icons/$0.png[/img]\\n"")))"),"[right][img=119]res://textures/icons/1.png[/img]\n[img=119]res://textures/icons/B.png[/img]\n")</f>
        <v>[right][img=119]res://textures/icons/1.png[/img]\n[img=119]res://textures/icons/B.png[/img]\n</v>
      </c>
      <c r="V264" s="4" t="str">
        <f>IFERROR(__xludf.DUMMYFUNCTION("SUBSTITUTE(SUBSTITUTE(SUBSTITUTE(SUBSTITUTE(REGEXREPLACE(SUBSTITUTE(SUBSTITUTE(SUBSTITUTE(SUBSTITUTE(REGEXREPLACE(I264, ""(\[([ROYGBPTQUXZC_]|1?[0-9])\])"", ""[img=45]res://textures/icons/$2.png[/img]""),""--"",""—""),""-&gt;"",""•""),""~@"", CONCATENATE(""["&amp;"i]"",REGEXEXTRACT(B264,""^([\s\S]*),|$""),""[/i]"")),""~"", CONCATENATE(""[i]"",B264,""[/i]"")),""(\([\s\S]*?\))"",""[i][color=#34343A]$0[/color][/i]""), ""&lt;"", ""[""), ""&gt;"", ""]""), ""[/p][p]"", ""[font_size=15]\n\n[/font_size]""), ""[br/]"", ""\n"")"),"[u]Once[/u] [i][color=#34343A](As you activate this effect, remove it from this card)[/color][/i]: All other combatants without effects permanently get +2/+2.")</f>
        <v xml:space="preserve">[u]Once[/u] [i][color=#34343A](As you activate this effect, remove it from this card)[/color][/i]: All other combatants without effects permanently get +2/+2.</v>
      </c>
      <c r="W264" s="4" t="str">
        <f t="shared" si="17"/>
        <v>[i]Asset[/i]</v>
      </c>
      <c r="X264" s="4" t="str">
        <f t="shared" si="18"/>
        <v>RT_BU_016</v>
      </c>
    </row>
    <row r="265" outlineLevel="1">
      <c r="A265" s="1" t="s">
        <v>1031</v>
      </c>
      <c r="B265" s="1" t="s">
        <v>1032</v>
      </c>
      <c r="C265" s="2" t="s">
        <v>893</v>
      </c>
      <c r="D265" s="6" t="str">
        <f>IFERROR(__xludf.DUMMYFUNCTION("IF(EQ(A265,B265),"""",SWITCH(IF(T265="""",0,COUNTA(SPLIT(T265,"" ""))),0,""Generic"",1,TRIM(T265),2,""Multicolor"",3,""Multicolor"",4,""Multicolor"",5,""Multicolor"",6,""Multicolor"",7,""Multicolor"",8,""Multicolor""))"),"Blue")</f>
        <v>Blue</v>
      </c>
      <c r="E265" s="1" t="s">
        <v>51</v>
      </c>
      <c r="F265" s="1" t="s">
        <v>26</v>
      </c>
      <c r="G265" s="1" t="s">
        <v>1033</v>
      </c>
      <c r="H265" s="2" t="s">
        <v>50</v>
      </c>
      <c r="I265" s="3" t="s">
        <v>1034</v>
      </c>
      <c r="J265" s="3" t="s">
        <v>1035</v>
      </c>
      <c r="K265" s="1">
        <v>3</v>
      </c>
      <c r="L265" s="1">
        <v>4</v>
      </c>
      <c r="O265" s="3"/>
      <c r="Q265" s="1">
        <v>60</v>
      </c>
      <c r="R265" s="1">
        <v>40</v>
      </c>
      <c r="S265" s="4" t="str">
        <f t="shared" si="16"/>
        <v>True</v>
      </c>
      <c r="T265" s="4" t="str">
        <f>IFERROR(__xludf.DUMMYFUNCTION("CONCATENATE(if(REGEXMATCH(C265,""R""),"" Red"",""""),if(REGEXMATCH(C265,""O""),"" Orange"",""""),if(REGEXMATCH(C265,""Y""),"" Yellow"",""""),if(REGEXMATCH(C265,""G""),"" Green"",""""),if(REGEXMATCH(C265,""B""),"" Blue"",""""),if(REGEXMATCH(C265,""P""),"" "&amp;"Purple"",""""))")," Blue")</f>
        <v>Blue</v>
      </c>
      <c r="U265" s="4" t="str">
        <f>IFERROR(__xludf.DUMMYFUNCTION("TRIM(CONCAT(""[right]"", REGEXREPLACE(C265, ""([ROYGBPXZC_]|1?[0-9])"", ""[img=119]res://textures/icons/$0.png[/img]\\n"")))"),"[right][img=119]res://textures/icons/1.png[/img]\n[img=119]res://textures/icons/B.png[/img]\n[img=119]res://textures/icons/B.png[/img]\n")</f>
        <v>[right][img=119]res://textures/icons/1.png[/img]\n[img=119]res://textures/icons/B.png[/img]\n[img=119]res://textures/icons/B.png[/img]\n</v>
      </c>
      <c r="V265" s="4" t="str">
        <f>IFERROR(__xludf.DUMMYFUNCTION("SUBSTITUTE(SUBSTITUTE(SUBSTITUTE(SUBSTITUTE(REGEXREPLACE(SUBSTITUTE(SUBSTITUTE(SUBSTITUTE(SUBSTITUTE(REGEXREPLACE(I265, ""(\[([ROYGBPTQUXZC_]|1?[0-9])\])"", ""[img=45]res://textures/icons/$2.png[/img]""),""--"",""—""),""-&gt;"",""•""),""~@"", CONCATENATE(""["&amp;"i]"",REGEXEXTRACT(B265,""^([\s\S]*),|$""),""[/i]"")),""~"", CONCATENATE(""[i]"",B265,""[/i]"")),""(\([\s\S]*?\))"",""[i][color=#34343A]$0[/color][/i]""), ""&lt;"", ""[""), ""&gt;"", ""]""), ""[/p][p]"", ""[font_size=15]\n\n[/font_size]""), ""[br/]"", ""\n"")"),"When [i]Diver Priest[/i] resolves, choose a combatant; until end of turn, it gains [u]unkillable[/u] [i][color=#34343A](It can't be killed by damage.)[/color][/i]")</f>
        <v xml:space="preserve">When [i]Diver Priest[/i] resolves, choose a combatant; until end of turn, it gains [u]unkillable[/u] [i][color=#34343A](It can't be killed by damage.)[/color][/i]</v>
      </c>
      <c r="W265" s="4" t="str">
        <f t="shared" si="17"/>
        <v>[i]Asset[/i]</v>
      </c>
      <c r="X265" s="4" t="str">
        <f t="shared" si="18"/>
        <v>RT_BC_013</v>
      </c>
    </row>
    <row r="266" outlineLevel="1">
      <c r="A266" s="1" t="s">
        <v>1036</v>
      </c>
      <c r="B266" s="1" t="s">
        <v>1037</v>
      </c>
      <c r="C266" s="2" t="s">
        <v>893</v>
      </c>
      <c r="D266" s="6" t="str">
        <f>IFERROR(__xludf.DUMMYFUNCTION("IF(EQ(A266,B266),"""",SWITCH(IF(T266="""",0,COUNTA(SPLIT(T266,"" ""))),0,""Generic"",1,TRIM(T266),2,""Multicolor"",3,""Multicolor"",4,""Multicolor"",5,""Multicolor"",6,""Multicolor"",7,""Multicolor"",8,""Multicolor""))"),"Blue")</f>
        <v>Blue</v>
      </c>
      <c r="E266" s="1"/>
      <c r="F266" s="1" t="s">
        <v>33</v>
      </c>
      <c r="G266" s="1" t="s">
        <v>118</v>
      </c>
      <c r="H266" s="2" t="s">
        <v>32</v>
      </c>
      <c r="I266" s="11" t="s">
        <v>1038</v>
      </c>
      <c r="J266" s="3"/>
      <c r="O266" s="3"/>
      <c r="Q266" s="1">
        <v>60</v>
      </c>
      <c r="R266" s="1">
        <v>50</v>
      </c>
      <c r="S266" s="4" t="str">
        <f t="shared" si="16"/>
        <v>False</v>
      </c>
      <c r="T266" s="4" t="str">
        <f>IFERROR(__xludf.DUMMYFUNCTION("CONCATENATE(if(REGEXMATCH(C266,""R""),"" Red"",""""),if(REGEXMATCH(C266,""O""),"" Orange"",""""),if(REGEXMATCH(C266,""Y""),"" Yellow"",""""),if(REGEXMATCH(C266,""G""),"" Green"",""""),if(REGEXMATCH(C266,""B""),"" Blue"",""""),if(REGEXMATCH(C266,""P""),"" "&amp;"Purple"",""""))")," Blue")</f>
        <v>Blue</v>
      </c>
      <c r="U266" s="4" t="str">
        <f>IFERROR(__xludf.DUMMYFUNCTION("TRIM(CONCAT(""[right]"", REGEXREPLACE(C266, ""([ROYGBPXZC_]|1?[0-9])"", ""[img=119]res://textures/icons/$0.png[/img]\\n"")))"),"[right][img=119]res://textures/icons/1.png[/img]\n[img=119]res://textures/icons/B.png[/img]\n[img=119]res://textures/icons/B.png[/img]\n")</f>
        <v>[right][img=119]res://textures/icons/1.png[/img]\n[img=119]res://textures/icons/B.png[/img]\n[img=119]res://textures/icons/B.png[/img]\n</v>
      </c>
      <c r="V266" s="4" t="str">
        <f>IFERROR(__xludf.DUMMYFUNCTION("SUBSTITUTE(SUBSTITUTE(SUBSTITUTE(SUBSTITUTE(REGEXREPLACE(SUBSTITUTE(SUBSTITUTE(SUBSTITUTE(SUBSTITUTE(REGEXREPLACE(I266, ""(\[([ROYGBPTQUXZC_]|1?[0-9])\])"", ""[img=45]res://textures/icons/$2.png[/img]""),""--"",""—""),""-&gt;"",""•""),""~@"", CONCATENATE(""["&amp;"i]"",REGEXEXTRACT(B266,""^([\s\S]*),|$""),""[/i]"")),""~"", CONCATENATE(""[i]"",B266,""[/i]"")),""(\([\s\S]*?\))"",""[i][color=#34343A]$0[/color][/i]""), ""&lt;"", ""[""), ""&gt;"", ""]""), ""[/p][p]"", ""[font_size=15]\n\n[/font_size]""), ""[br/]"", ""\n"")"),"Choose one:[ul]Your commander gains 3 loyalty.\nChoose an asset; [u]Heal it 3[/u] [i][color=#34343A](If the specified asset has attack power or health reductions, reduce them by 3 [reducing permanent reductions first]. Otherwise remove 3 damage from it.)["&amp;"/color][/i]\nChoose an asset; it looses bleeding.[/ul]")</f>
        <v xml:space="preserve">Choose one:[ul]Your commander gains 3 loyalty.\nChoose an asset; [u]Heal it 3[/u] [i][color=#34343A](If the specified asset has attack power or health reductions, reduce them by 3 [reducing permanent reductions first]. Otherwise remove 3 damage from it.)[/color][/i]\nChoose an asset; it looses bleeding.[/ul]</v>
      </c>
      <c r="W266" s="4" t="str">
        <f t="shared" si="17"/>
        <v>[i]Effect[/i]</v>
      </c>
      <c r="X266" s="4" t="str">
        <f t="shared" si="18"/>
        <v>RT_BC_014</v>
      </c>
    </row>
    <row r="267" outlineLevel="1">
      <c r="A267" s="1" t="s">
        <v>1039</v>
      </c>
      <c r="B267" s="1" t="s">
        <v>1040</v>
      </c>
      <c r="C267" s="2" t="s">
        <v>25</v>
      </c>
      <c r="D267" s="6" t="s">
        <v>1041</v>
      </c>
      <c r="E267" s="1" t="s">
        <v>51</v>
      </c>
      <c r="F267" s="1" t="s">
        <v>26</v>
      </c>
      <c r="G267" s="1" t="s">
        <v>1009</v>
      </c>
      <c r="H267" s="2" t="s">
        <v>50</v>
      </c>
      <c r="I267" s="3" t="s">
        <v>1042</v>
      </c>
      <c r="J267" s="3"/>
      <c r="K267" s="1">
        <v>0</v>
      </c>
      <c r="L267" s="1">
        <v>1</v>
      </c>
      <c r="O267" s="3"/>
      <c r="Q267" s="1">
        <v>60</v>
      </c>
      <c r="R267" s="1">
        <v>50</v>
      </c>
      <c r="S267" s="4" t="str">
        <f t="shared" si="16"/>
        <v>True</v>
      </c>
      <c r="T267" s="4" t="str">
        <f>IFERROR(__xludf.DUMMYFUNCTION("CONCATENATE(if(REGEXMATCH(C267,""R""),"" Red"",""""),if(REGEXMATCH(C267,""O""),"" Orange"",""""),if(REGEXMATCH(C267,""Y""),"" Yellow"",""""),if(REGEXMATCH(C267,""G""),"" Green"",""""),if(REGEXMATCH(C267,""B""),"" Blue"",""""),if(REGEXMATCH(C267,""P""),"" "&amp;"Purple"",""""))"),"")</f>
        <v/>
      </c>
      <c r="U267" s="4" t="str">
        <f>IFERROR(__xludf.DUMMYFUNCTION("TRIM(CONCAT(""[right]"", REGEXREPLACE(C267, ""([ROYGBPXZC_]|1?[0-9])"", ""[img=119]res://textures/icons/$0.png[/img]\\n"")))"),"[right][img=119]res://textures/icons/0.png[/img]\n")</f>
        <v>[right][img=119]res://textures/icons/0.png[/img]\n</v>
      </c>
      <c r="V267" s="4" t="str">
        <f>IFERROR(__xludf.DUMMYFUNCTION("SUBSTITUTE(SUBSTITUTE(SUBSTITUTE(SUBSTITUTE(REGEXREPLACE(SUBSTITUTE(SUBSTITUTE(SUBSTITUTE(SUBSTITUTE(REGEXREPLACE(I267, ""(\[([ROYGBPTQUXZC_]|1?[0-9])\])"", ""[img=45]res://textures/icons/$2.png[/img]""),""--"",""—""),""-&gt;"",""•""),""~@"", CONCATENATE(""["&amp;"i]"",REGEXEXTRACT(B267,""^([\s\S]*),|$""),""[/i]"")),""~"", CONCATENATE(""[i]"",B267,""[/i]"")),""(\([\s\S]*?\))"",""[i][color=#34343A]$0[/color][/i]""), ""&lt;"", ""[""), ""&gt;"", ""]""), ""[/p][p]"", ""[font_size=15]\n\n[/font_size]""), ""[br/]"", ""\n"")"),"[center][u]Exchange [img=45]res://textures/icons/1.png[/img][/u] [i][color=#34343A](Pay [img=45]res://textures/icons/1.png[/img], Discard [i]Scared Child[/i] from your hand: Draw a card.)[/color][/i][p][i]Scared Child[/i] can't attack.[/p][/center]")</f>
        <v xml:space="preserve">[center][u]Exchange [img=45]res://textures/icons/1.png[/img][/u] [i][color=#34343A](Pay [img=45]res://textures/icons/1.png[/img], Discard [i]Scared Child[/i] from your hand: Draw a card.)[/color][/i][p][i]Scared Child[/i] can't attack.[/p][/center]</v>
      </c>
      <c r="W267" s="4" t="str">
        <f t="shared" si="17"/>
        <v>[i]Asset[/i]</v>
      </c>
      <c r="X267" s="4" t="str">
        <f t="shared" si="18"/>
        <v>RT_BC_015</v>
      </c>
    </row>
    <row r="268" outlineLevel="1">
      <c r="A268" s="1" t="s">
        <v>1043</v>
      </c>
      <c r="B268" s="1" t="s">
        <v>1044</v>
      </c>
      <c r="C268" s="2" t="s">
        <v>941</v>
      </c>
      <c r="D268" s="6" t="str">
        <f>IFERROR(__xludf.DUMMYFUNCTION("IF(EQ(A268,B268),"""",SWITCH(IF(T268="""",0,COUNTA(SPLIT(T268,"" ""))),0,""Generic"",1,TRIM(T268),2,""Multicolor"",3,""Multicolor"",4,""Multicolor"",5,""Multicolor"",6,""Multicolor"",7,""Multicolor"",8,""Multicolor""))"),"Blue")</f>
        <v>Blue</v>
      </c>
      <c r="E268" s="1"/>
      <c r="F268" s="1" t="s">
        <v>33</v>
      </c>
      <c r="G268" s="1" t="s">
        <v>118</v>
      </c>
      <c r="H268" s="2" t="s">
        <v>32</v>
      </c>
      <c r="I268" s="3" t="s">
        <v>1045</v>
      </c>
      <c r="J268" s="3" t="s">
        <v>1046</v>
      </c>
      <c r="O268" s="3"/>
      <c r="Q268" s="1">
        <v>50</v>
      </c>
      <c r="R268" s="1">
        <v>50</v>
      </c>
      <c r="S268" s="4" t="str">
        <f t="shared" si="16"/>
        <v>False</v>
      </c>
      <c r="T268" s="4" t="str">
        <f>IFERROR(__xludf.DUMMYFUNCTION("CONCATENATE(if(REGEXMATCH(C268,""R""),"" Red"",""""),if(REGEXMATCH(C268,""O""),"" Orange"",""""),if(REGEXMATCH(C268,""Y""),"" Yellow"",""""),if(REGEXMATCH(C268,""G""),"" Green"",""""),if(REGEXMATCH(C268,""B""),"" Blue"",""""),if(REGEXMATCH(C268,""P""),"" "&amp;"Purple"",""""))")," Blue")</f>
        <v>Blue</v>
      </c>
      <c r="U268" s="4" t="str">
        <f>IFERROR(__xludf.DUMMYFUNCTION("TRIM(CONCAT(""[right]"", REGEXREPLACE(C268, ""([ROYGBPXZC_]|1?[0-9])"", ""[img=119]res://textures/icons/$0.png[/img]\\n"")))"),"[right][img=119]res://textures/icons/1.png[/img]\n[img=119]res://textures/icons/B.png[/img]\n")</f>
        <v>[right][img=119]res://textures/icons/1.png[/img]\n[img=119]res://textures/icons/B.png[/img]\n</v>
      </c>
      <c r="V268" s="4" t="str">
        <f>IFERROR(__xludf.DUMMYFUNCTION("SUBSTITUTE(SUBSTITUTE(SUBSTITUTE(SUBSTITUTE(REGEXREPLACE(SUBSTITUTE(SUBSTITUTE(SUBSTITUTE(SUBSTITUTE(REGEXREPLACE(I268, ""(\[([ROYGBPTQUXZC_]|1?[0-9])\])"", ""[img=45]res://textures/icons/$2.png[/img]""),""--"",""—""),""-&gt;"",""•""),""~@"", CONCATENATE(""["&amp;"i]"",REGEXEXTRACT(B268,""^([\s\S]*),|$""),""[/i]"")),""~"", CONCATENATE(""[i]"",B268,""[/i]"")),""(\([\s\S]*?\))"",""[i][color=#34343A]$0[/color][/i]""), ""&lt;"", ""[""), ""&gt;"", ""]""), ""[/p][p]"", ""[font_size=15]\n\n[/font_size]""), ""[br/]"", ""\n"")"),"[p][i]Light in the Darkness[/i] costs [img=45]res://textures/icons/B.png[/img] less if you didn't go first.[font_size=15]\n\n[/font_size]Choose a combatant, until end of turn, its attack power is reduced to 0.[/p]")</f>
        <v xml:space="preserve">[p][i]Light in the Darkness[/i] costs [img=45]res://textures/icons/B.png[/img] less if you didn't go first.[font_size=15]\n\n[/font_size]Choose a combatant, until end of turn, its attack power is reduced to 0.[/p]</v>
      </c>
      <c r="W268" s="4" t="str">
        <f t="shared" si="17"/>
        <v>[i]Effect[/i]</v>
      </c>
      <c r="X268" s="4" t="str">
        <f t="shared" si="18"/>
        <v>RT_BC_016</v>
      </c>
    </row>
    <row r="269" outlineLevel="1">
      <c r="A269" s="1" t="s">
        <v>1047</v>
      </c>
      <c r="B269" s="1" t="s">
        <v>1048</v>
      </c>
      <c r="C269" s="2" t="s">
        <v>61</v>
      </c>
      <c r="D269" s="6" t="str">
        <f>IFERROR(__xludf.DUMMYFUNCTION("IF(EQ(A269,B269),"""",SWITCH(IF(T269="""",0,COUNTA(SPLIT(T269,"" ""))),0,""Generic"",1,TRIM(T269),2,""Multicolor"",3,""Multicolor"",4,""Multicolor"",5,""Multicolor"",6,""Multicolor"",7,""Multicolor"",8,""Multicolor""))"),"Blue")</f>
        <v>Blue</v>
      </c>
      <c r="E269" s="1" t="s">
        <v>51</v>
      </c>
      <c r="F269" s="1" t="s">
        <v>26</v>
      </c>
      <c r="G269" s="1" t="s">
        <v>273</v>
      </c>
      <c r="H269" s="2" t="s">
        <v>32</v>
      </c>
      <c r="I269" s="3" t="s">
        <v>1049</v>
      </c>
      <c r="J269" s="3"/>
      <c r="K269" s="1">
        <v>1</v>
      </c>
      <c r="L269" s="1">
        <v>1</v>
      </c>
      <c r="O269" s="3"/>
      <c r="Q269" s="1">
        <v>60</v>
      </c>
      <c r="R269" s="1">
        <v>50</v>
      </c>
      <c r="S269" s="4" t="str">
        <f t="shared" si="16"/>
        <v>True</v>
      </c>
      <c r="T269" s="4" t="str">
        <f>IFERROR(__xludf.DUMMYFUNCTION("CONCATENATE(if(REGEXMATCH(C269,""R""),"" Red"",""""),if(REGEXMATCH(C269,""O""),"" Orange"",""""),if(REGEXMATCH(C269,""Y""),"" Yellow"",""""),if(REGEXMATCH(C269,""G""),"" Green"",""""),if(REGEXMATCH(C269,""B""),"" Blue"",""""),if(REGEXMATCH(C269,""P""),"" "&amp;"Purple"",""""))")," Blue")</f>
        <v>Blue</v>
      </c>
      <c r="U269" s="4" t="str">
        <f>IFERROR(__xludf.DUMMYFUNCTION("TRIM(CONCAT(""[right]"", REGEXREPLACE(C269, ""([ROYGBPXZC_]|1?[0-9])"", ""[img=119]res://textures/icons/$0.png[/img]\\n"")))"),"[right][img=119]res://textures/icons/B.png[/img]\n")</f>
        <v>[right][img=119]res://textures/icons/B.png[/img]\n</v>
      </c>
      <c r="V269" s="4" t="str">
        <f>IFERROR(__xludf.DUMMYFUNCTION("SUBSTITUTE(SUBSTITUTE(SUBSTITUTE(SUBSTITUTE(REGEXREPLACE(SUBSTITUTE(SUBSTITUTE(SUBSTITUTE(SUBSTITUTE(REGEXREPLACE(I269, ""(\[([ROYGBPTQUXZC_]|1?[0-9])\])"", ""[img=45]res://textures/icons/$2.png[/img]""),""--"",""—""),""-&gt;"",""•""),""~@"", CONCATENATE(""["&amp;"i]"",REGEXEXTRACT(B269,""^([\s\S]*),|$""),""[/i]"")),""~"", CONCATENATE(""[i]"",B269,""[/i]"")),""(\([\s\S]*?\))"",""[i][color=#34343A]$0[/color][/i]""), ""&lt;"", ""[""), ""&gt;"", ""]""), ""[/p][p]"", ""[font_size=15]\n\n[/font_size]""), ""[br/]"", ""\n"")"),"[center]The first time [i]Neglectful Parent[/i] becomes exhausted, create a [u]transient[/u] [i]'Scared Child'[/i] in your hand.[/center]")</f>
        <v xml:space="preserve">[center]The first time [i]Neglectful Parent[/i] becomes exhausted, create a [u]transient[/u] [i]'Scared Child'[/i] in your hand.[/center]</v>
      </c>
      <c r="W269" s="4" t="str">
        <f t="shared" si="17"/>
        <v>[i]Asset[/i]</v>
      </c>
      <c r="X269" s="4" t="str">
        <f t="shared" si="18"/>
        <v>RT_BC_017</v>
      </c>
    </row>
    <row r="270" outlineLevel="1">
      <c r="A270" s="1" t="s">
        <v>1050</v>
      </c>
      <c r="B270" s="1" t="s">
        <v>1051</v>
      </c>
      <c r="C270" s="2" t="s">
        <v>941</v>
      </c>
      <c r="D270" s="6" t="str">
        <f>IFERROR(__xludf.DUMMYFUNCTION("IF(EQ(A270,B270),"""",SWITCH(IF(T270="""",0,COUNTA(SPLIT(T270,"" ""))),0,""Generic"",1,TRIM(T270),2,""Multicolor"",3,""Multicolor"",4,""Multicolor"",5,""Multicolor"",6,""Multicolor"",7,""Multicolor"",8,""Multicolor""))"),"Blue")</f>
        <v>Blue</v>
      </c>
      <c r="E270" s="1" t="s">
        <v>51</v>
      </c>
      <c r="F270" s="1" t="s">
        <v>26</v>
      </c>
      <c r="G270" s="1" t="s">
        <v>632</v>
      </c>
      <c r="H270" s="2" t="s">
        <v>50</v>
      </c>
      <c r="J270" s="3"/>
      <c r="K270" s="1">
        <v>4</v>
      </c>
      <c r="L270" s="1">
        <v>4</v>
      </c>
      <c r="O270" s="3"/>
      <c r="Q270" s="1">
        <v>60</v>
      </c>
      <c r="R270" s="1">
        <v>40</v>
      </c>
      <c r="S270" s="4" t="str">
        <f t="shared" si="16"/>
        <v>True</v>
      </c>
      <c r="T270" s="4" t="str">
        <f>IFERROR(__xludf.DUMMYFUNCTION("CONCATENATE(if(REGEXMATCH(C270,""R""),"" Red"",""""),if(REGEXMATCH(C270,""O""),"" Orange"",""""),if(REGEXMATCH(C270,""Y""),"" Yellow"",""""),if(REGEXMATCH(C270,""G""),"" Green"",""""),if(REGEXMATCH(C270,""B""),"" Blue"",""""),if(REGEXMATCH(C270,""P""),"" "&amp;"Purple"",""""))")," Blue")</f>
        <v>Blue</v>
      </c>
      <c r="U270" s="4" t="str">
        <f>IFERROR(__xludf.DUMMYFUNCTION("TRIM(CONCAT(""[right]"", REGEXREPLACE(C270, ""([ROYGBPXZC_]|1?[0-9])"", ""[img=119]res://textures/icons/$0.png[/img]\\n"")))"),"[right][img=119]res://textures/icons/1.png[/img]\n[img=119]res://textures/icons/B.png[/img]\n")</f>
        <v>[right][img=119]res://textures/icons/1.png[/img]\n[img=119]res://textures/icons/B.png[/img]\n</v>
      </c>
      <c r="V270" s="4" t="str">
        <f>IFERROR(__xludf.DUMMYFUNCTION("SUBSTITUTE(SUBSTITUTE(SUBSTITUTE(SUBSTITUTE(REGEXREPLACE(SUBSTITUTE(SUBSTITUTE(SUBSTITUTE(SUBSTITUTE(REGEXREPLACE(I270, ""(\[([ROYGBPTQUXZC_]|1?[0-9])\])"", ""[img=45]res://textures/icons/$2.png[/img]""),""--"",""—""),""-&gt;"",""•""),""~@"", CONCATENATE(""["&amp;"i]"",REGEXEXTRACT(B270,""^([\s\S]*),|$""),""[/i]"")),""~"", CONCATENATE(""[i]"",B270,""[/i]"")),""(\([\s\S]*?\))"",""[i][color=#34343A]$0[/color][/i]""), ""&lt;"", ""[""), ""&gt;"", ""]""), ""[/p][p]"", ""[font_size=15]\n\n[/font_size]""), ""[br/]"", ""\n"")"),"")</f>
        <v/>
      </c>
      <c r="W270" s="4" t="str">
        <f t="shared" si="17"/>
        <v>[i]Asset[/i]</v>
      </c>
      <c r="X270" s="4" t="str">
        <f t="shared" si="18"/>
        <v>RT_BC_018</v>
      </c>
    </row>
    <row r="271" outlineLevel="1">
      <c r="A271" s="1" t="s">
        <v>1052</v>
      </c>
      <c r="B271" s="1" t="s">
        <v>1053</v>
      </c>
      <c r="C271" s="2" t="s">
        <v>941</v>
      </c>
      <c r="D271" s="6" t="str">
        <f>IFERROR(__xludf.DUMMYFUNCTION("IF(EQ(A265,B271),"""",SWITCH(IF(T265="""",0,COUNTA(SPLIT(T265,"" ""))),0,""Generic"",1,TRIM(T265),2,""Multicolor"",3,""Multicolor"",4,""Multicolor"",5,""Multicolor"",6,""Multicolor"",7,""Multicolor"",8,""Multicolor""))"),"Blue")</f>
        <v>Blue</v>
      </c>
      <c r="E271" s="1" t="s">
        <v>51</v>
      </c>
      <c r="F271" s="1" t="s">
        <v>26</v>
      </c>
      <c r="G271" s="1" t="s">
        <v>1054</v>
      </c>
      <c r="H271" s="2" t="s">
        <v>44</v>
      </c>
      <c r="I271" s="3" t="s">
        <v>1055</v>
      </c>
      <c r="J271" s="3"/>
      <c r="K271" s="1">
        <v>4</v>
      </c>
      <c r="L271" s="1">
        <v>4</v>
      </c>
      <c r="O271" s="3"/>
      <c r="Q271" s="1">
        <v>45</v>
      </c>
      <c r="R271" s="1">
        <v>35</v>
      </c>
      <c r="S271" s="4" t="str">
        <f t="shared" si="16"/>
        <v>True</v>
      </c>
      <c r="T271" s="4" t="str">
        <f>IFERROR(__xludf.DUMMYFUNCTION("CONCATENATE(if(REGEXMATCH(C271,""R""),"" Red"",""""),if(REGEXMATCH(C271,""O""),"" Orange"",""""),if(REGEXMATCH(C271,""Y""),"" Yellow"",""""),if(REGEXMATCH(C271,""G""),"" Green"",""""),if(REGEXMATCH(C271,""B""),"" Blue"",""""),if(REGEXMATCH(C271,""P""),"" "&amp;"Purple"",""""))")," Blue")</f>
        <v>Blue</v>
      </c>
      <c r="U271" s="4" t="str">
        <f>IFERROR(__xludf.DUMMYFUNCTION("TRIM(CONCAT(""[right]"", REGEXREPLACE(C271, ""([ROYGBPXZC_]|1?[0-9])"", ""[img=119]res://textures/icons/$0.png[/img]\\n"")))"),"[right][img=119]res://textures/icons/1.png[/img]\n[img=119]res://textures/icons/B.png[/img]\n")</f>
        <v>[right][img=119]res://textures/icons/1.png[/img]\n[img=119]res://textures/icons/B.png[/img]\n</v>
      </c>
      <c r="V271" s="4" t="str">
        <f>IFERROR(__xludf.DUMMYFUNCTION("SUBSTITUTE(SUBSTITUTE(SUBSTITUTE(SUBSTITUTE(REGEXREPLACE(SUBSTITUTE(SUBSTITUTE(SUBSTITUTE(SUBSTITUTE(REGEXREPLACE(I271, ""(\[([ROYGBPTQUXZC_]|1?[0-9])\])"", ""[img=45]res://textures/icons/$2.png[/img]""),""--"",""—""),""-&gt;"",""•""),""~@"", CONCATENATE(""["&amp;"i]"",REGEXEXTRACT(B271,""^([\s\S]*),|$""),""[/i]"")),""~"", CONCATENATE(""[i]"",B271,""[/i]"")),""(\([\s\S]*?\))"",""[i][color=#34343A]$0[/color][/i]""), ""&lt;"", ""[""), ""&gt;"", ""]""), ""[/p][p]"", ""[font_size=15]\n\n[/font_size]""), ""[br/]"", ""\n"")"),"When [i]Underworld Investigator[/i] [u]dies[/u] [i][color=#34343A](Enters a discard from the battlefield)[/color][/i], shuffle a [i]'Tip'[/i] into your deck.")</f>
        <v xml:space="preserve">When [i]Underworld Investigator[/i] [u]dies[/u] [i][color=#34343A](Enters a discard from the battlefield)[/color][/i], shuffle a [i]'Tip'[/i] into your deck.</v>
      </c>
      <c r="W271" s="4" t="str">
        <f t="shared" si="17"/>
        <v>[i]Asset[/i]</v>
      </c>
      <c r="X271" s="4" t="str">
        <f t="shared" si="18"/>
        <v>RT_BC_019</v>
      </c>
    </row>
    <row r="272" outlineLevel="1">
      <c r="A272" s="1" t="s">
        <v>1056</v>
      </c>
      <c r="B272" s="1" t="s">
        <v>1057</v>
      </c>
      <c r="C272" s="2" t="s">
        <v>61</v>
      </c>
      <c r="D272" s="6" t="str">
        <f>IFERROR(__xludf.DUMMYFUNCTION("IF(EQ(A272,B272),"""",SWITCH(IF(T272="""",0,COUNTA(SPLIT(T272,"" ""))),0,""Generic"",1,TRIM(T272),2,""Multicolor"",3,""Multicolor"",4,""Multicolor"",5,""Multicolor"",6,""Multicolor"",7,""Multicolor"",8,""Multicolor""))"),"Blue")</f>
        <v>Blue</v>
      </c>
      <c r="E272" s="1" t="s">
        <v>51</v>
      </c>
      <c r="F272" s="1" t="s">
        <v>26</v>
      </c>
      <c r="G272" s="1" t="s">
        <v>273</v>
      </c>
      <c r="H272" s="2" t="s">
        <v>50</v>
      </c>
      <c r="I272" s="3" t="s">
        <v>1058</v>
      </c>
      <c r="J272" s="3"/>
      <c r="K272" s="1">
        <v>4</v>
      </c>
      <c r="L272" s="1">
        <v>3</v>
      </c>
      <c r="O272" s="3"/>
      <c r="Q272" s="1">
        <v>45</v>
      </c>
      <c r="R272" s="1">
        <v>50</v>
      </c>
      <c r="S272" s="4" t="str">
        <f t="shared" si="16"/>
        <v>True</v>
      </c>
      <c r="T272" s="4" t="str">
        <f>IFERROR(__xludf.DUMMYFUNCTION("CONCATENATE(if(REGEXMATCH(C272,""R""),"" Red"",""""),if(REGEXMATCH(C272,""O""),"" Orange"",""""),if(REGEXMATCH(C272,""Y""),"" Yellow"",""""),if(REGEXMATCH(C272,""G""),"" Green"",""""),if(REGEXMATCH(C272,""B""),"" Blue"",""""),if(REGEXMATCH(C272,""P""),"" "&amp;"Purple"",""""))")," Blue")</f>
        <v>Blue</v>
      </c>
      <c r="U272" s="4" t="str">
        <f>IFERROR(__xludf.DUMMYFUNCTION("TRIM(CONCAT(""[right]"", REGEXREPLACE(C272, ""([ROYGBPXZC_]|1?[0-9])"", ""[img=119]res://textures/icons/$0.png[/img]\\n"")))"),"[right][img=119]res://textures/icons/B.png[/img]\n")</f>
        <v>[right][img=119]res://textures/icons/B.png[/img]\n</v>
      </c>
      <c r="V272" s="4" t="str">
        <f>IFERROR(__xludf.DUMMYFUNCTION("SUBSTITUTE(SUBSTITUTE(SUBSTITUTE(SUBSTITUTE(REGEXREPLACE(SUBSTITUTE(SUBSTITUTE(SUBSTITUTE(SUBSTITUTE(REGEXREPLACE(I272, ""(\[([ROYGBPTQUXZC_]|1?[0-9])\])"", ""[img=45]res://textures/icons/$2.png[/img]""),""--"",""—""),""-&gt;"",""•""),""~@"", CONCATENATE(""["&amp;"i]"",REGEXEXTRACT(B272,""^([\s\S]*),|$""),""[/i]"")),""~"", CONCATENATE(""[i]"",B272,""[/i]"")),""(\([\s\S]*?\))"",""[i][color=#34343A]$0[/color][/i]""), ""&lt;"", ""[""), ""&gt;"", ""]""), ""[/p][p]"", ""[font_size=15]\n\n[/font_size]""), ""[br/]"", ""\n"")"),"When [i]Generous Stranger[/i] enters the battlefield, choose an opponent; they may play a card in their hand without paying its costs.")</f>
        <v xml:space="preserve">When [i]Generous Stranger[/i] enters the battlefield, choose an opponent; they may play a card in their hand without paying its costs.</v>
      </c>
      <c r="W272" s="4" t="str">
        <f t="shared" si="17"/>
        <v>[i]Asset[/i]</v>
      </c>
      <c r="X272" s="4" t="str">
        <f t="shared" si="18"/>
        <v>RT_BC_020</v>
      </c>
    </row>
    <row r="273" outlineLevel="1">
      <c r="A273" s="1" t="s">
        <v>1059</v>
      </c>
      <c r="B273" s="1" t="s">
        <v>1060</v>
      </c>
      <c r="C273" s="2" t="s">
        <v>61</v>
      </c>
      <c r="D273" s="6" t="str">
        <f>IFERROR(__xludf.DUMMYFUNCTION("IF(EQ(A273,B273),"""",SWITCH(IF(T273="""",0,COUNTA(SPLIT(T273,"" ""))),0,""Generic"",1,TRIM(T273),2,""Multicolor"",3,""Multicolor"",4,""Multicolor"",5,""Multicolor"",6,""Multicolor"",7,""Multicolor"",8,""Multicolor""))"),"Blue")</f>
        <v>Blue</v>
      </c>
      <c r="E273" s="1"/>
      <c r="F273" s="1" t="s">
        <v>33</v>
      </c>
      <c r="G273" s="1" t="s">
        <v>1061</v>
      </c>
      <c r="H273" s="2" t="s">
        <v>44</v>
      </c>
      <c r="I273" s="3" t="s">
        <v>1062</v>
      </c>
      <c r="J273" s="3" t="s">
        <v>1063</v>
      </c>
      <c r="M273" s="3" t="s">
        <v>1064</v>
      </c>
      <c r="O273" s="3"/>
      <c r="Q273" s="1">
        <v>60</v>
      </c>
      <c r="R273" s="1">
        <v>50</v>
      </c>
      <c r="S273" s="4" t="str">
        <f t="shared" si="16"/>
        <v>False</v>
      </c>
      <c r="T273" s="4" t="str">
        <f>IFERROR(__xludf.DUMMYFUNCTION("CONCATENATE(if(REGEXMATCH(C273,""R""),"" Red"",""""),if(REGEXMATCH(C273,""O""),"" Orange"",""""),if(REGEXMATCH(C273,""Y""),"" Yellow"",""""),if(REGEXMATCH(C273,""G""),"" Green"",""""),if(REGEXMATCH(C273,""B""),"" Blue"",""""),if(REGEXMATCH(C273,""P""),"" "&amp;"Purple"",""""))")," Blue")</f>
        <v>Blue</v>
      </c>
      <c r="U273" s="4" t="str">
        <f>IFERROR(__xludf.DUMMYFUNCTION("TRIM(CONCAT(""[right]"", REGEXREPLACE(C273, ""([ROYGBPXZC_]|1?[0-9])"", ""[img=119]res://textures/icons/$0.png[/img]\\n"")))"),"[right][img=119]res://textures/icons/B.png[/img]\n")</f>
        <v>[right][img=119]res://textures/icons/B.png[/img]\n</v>
      </c>
      <c r="V273" s="4" t="str">
        <f>IFERROR(__xludf.DUMMYFUNCTION("SUBSTITUTE(SUBSTITUTE(SUBSTITUTE(SUBSTITUTE(REGEXREPLACE(SUBSTITUTE(SUBSTITUTE(SUBSTITUTE(SUBSTITUTE(REGEXREPLACE(I273, ""(\[([ROYGBPTQUXZC_]|1?[0-9])\])"", ""[img=45]res://textures/icons/$2.png[/img]""),""--"",""—""),""-&gt;"",""•""),""~@"", CONCATENATE(""["&amp;"i]"",REGEXEXTRACT(B273,""^([\s\S]*),|$""),""[/i]"")),""~"", CONCATENATE(""[i]"",B273,""[/i]"")),""(\([\s\S]*?\))"",""[i][color=#34343A]$0[/color][/i]""), ""&lt;"", ""[""), ""&gt;"", ""]""), ""[/p][p]"", ""[font_size=15]\n\n[/font_size]""), ""[br/]"", ""\n"")"),"Choose a player; the next time they would draw a card, they don't.")</f>
        <v xml:space="preserve">Choose a player; the next time they would draw a card, they don't.</v>
      </c>
      <c r="W273" s="4" t="str">
        <f t="shared" si="17"/>
        <v>[i]Effect[/i]</v>
      </c>
      <c r="X273" s="4" t="str">
        <f t="shared" si="18"/>
        <v>RT_BC_021</v>
      </c>
    </row>
    <row r="274" outlineLevel="1">
      <c r="A274" s="1" t="s">
        <v>1065</v>
      </c>
      <c r="B274" s="1" t="str">
        <f t="shared" si="15"/>
        <v>BC_022</v>
      </c>
      <c r="C274" s="2"/>
      <c r="D274" s="6" t="str">
        <f>IFERROR(__xludf.DUMMYFUNCTION("IF(EQ(A274,B274),"""",SWITCH(IF(T274="""",0,COUNTA(SPLIT(T274,"" ""))),0,""Generic"",1,TRIM(T274),2,""Multicolor"",3,""Multicolor"",4,""Multicolor"",5,""Multicolor"",6,""Multicolor"",7,""Multicolor"",8,""Multicolor""))"),"")</f>
        <v/>
      </c>
      <c r="E274" s="1"/>
      <c r="F274" s="1"/>
      <c r="H274" s="2"/>
      <c r="I274" s="3"/>
      <c r="J274" s="3"/>
      <c r="O274" s="3"/>
      <c r="Q274" s="1">
        <v>60</v>
      </c>
      <c r="R274" s="1">
        <v>50</v>
      </c>
      <c r="S274" s="4" t="str">
        <f t="shared" si="16"/>
        <v>False</v>
      </c>
      <c r="T274" s="4" t="str">
        <f>IFERROR(__xludf.DUMMYFUNCTION("CONCATENATE(if(REGEXMATCH(C274,""R""),"" Red"",""""),if(REGEXMATCH(C274,""O""),"" Orange"",""""),if(REGEXMATCH(C274,""Y""),"" Yellow"",""""),if(REGEXMATCH(C274,""G""),"" Green"",""""),if(REGEXMATCH(C274,""B""),"" Blue"",""""),if(REGEXMATCH(C274,""P""),"" "&amp;"Purple"",""""))"),"")</f>
        <v/>
      </c>
      <c r="U274" s="4" t="str">
        <f>IFERROR(__xludf.DUMMYFUNCTION("TRIM(CONCAT(""[right]"", REGEXREPLACE(C274, ""([ROYGBPXZC_]|1?[0-9])"", ""[img=119]res://textures/icons/$0.png[/img]\\n"")))"),"[right]")</f>
        <v>[right]</v>
      </c>
      <c r="V274" s="4" t="str">
        <f>IFERROR(__xludf.DUMMYFUNCTION("SUBSTITUTE(SUBSTITUTE(SUBSTITUTE(SUBSTITUTE(REGEXREPLACE(SUBSTITUTE(SUBSTITUTE(SUBSTITUTE(SUBSTITUTE(REGEXREPLACE(I274, ""(\[([ROYGBPTQUXZC_]|1?[0-9])\])"", ""[img=45]res://textures/icons/$2.png[/img]""),""--"",""—""),""-&gt;"",""•""),""~@"", CONCATENATE(""["&amp;"i]"",REGEXEXTRACT(B274,""^([\s\S]*),|$""),""[/i]"")),""~"", CONCATENATE(""[i]"",B274,""[/i]"")),""(\([\s\S]*?\))"",""[i][color=#34343A]$0[/color][/i]""), ""&lt;"", ""[""), ""&gt;"", ""]""), ""[/p][p]"", ""[font_size=15]\n\n[/font_size]""), ""[br/]"", ""\n"")"),"")</f>
        <v/>
      </c>
      <c r="W274" s="4" t="str">
        <f t="shared" si="17"/>
        <v>[i][/i]</v>
      </c>
      <c r="X274" s="4" t="str">
        <f t="shared" si="18"/>
        <v>0</v>
      </c>
    </row>
    <row r="275" outlineLevel="1">
      <c r="A275" s="1" t="s">
        <v>1066</v>
      </c>
      <c r="B275" s="1" t="str">
        <f t="shared" si="15"/>
        <v>BC_023</v>
      </c>
      <c r="C275" s="2"/>
      <c r="D275" s="6" t="str">
        <f>IFERROR(__xludf.DUMMYFUNCTION("IF(EQ(A275,B275),"""",SWITCH(IF(T275="""",0,COUNTA(SPLIT(T275,"" ""))),0,""Generic"",1,TRIM(T275),2,""Multicolor"",3,""Multicolor"",4,""Multicolor"",5,""Multicolor"",6,""Multicolor"",7,""Multicolor"",8,""Multicolor""))"),"")</f>
        <v/>
      </c>
      <c r="E275" s="1"/>
      <c r="F275" s="1"/>
      <c r="H275" s="2"/>
      <c r="I275" s="3"/>
      <c r="J275" s="3"/>
      <c r="O275" s="3"/>
      <c r="Q275" s="1">
        <v>60</v>
      </c>
      <c r="R275" s="1">
        <v>50</v>
      </c>
      <c r="S275" s="4" t="str">
        <f t="shared" si="16"/>
        <v>False</v>
      </c>
      <c r="T275" s="4" t="str">
        <f>IFERROR(__xludf.DUMMYFUNCTION("CONCATENATE(if(REGEXMATCH(C275,""R""),"" Red"",""""),if(REGEXMATCH(C275,""O""),"" Orange"",""""),if(REGEXMATCH(C275,""Y""),"" Yellow"",""""),if(REGEXMATCH(C275,""G""),"" Green"",""""),if(REGEXMATCH(C275,""B""),"" Blue"",""""),if(REGEXMATCH(C275,""P""),"" "&amp;"Purple"",""""))"),"")</f>
        <v/>
      </c>
      <c r="U275" s="4" t="str">
        <f>IFERROR(__xludf.DUMMYFUNCTION("TRIM(CONCAT(""[right]"", REGEXREPLACE(C275, ""([ROYGBPXZC_]|1?[0-9])"", ""[img=119]res://textures/icons/$0.png[/img]\\n"")))"),"[right]")</f>
        <v>[right]</v>
      </c>
      <c r="V275" s="4" t="str">
        <f>IFERROR(__xludf.DUMMYFUNCTION("SUBSTITUTE(SUBSTITUTE(SUBSTITUTE(SUBSTITUTE(REGEXREPLACE(SUBSTITUTE(SUBSTITUTE(SUBSTITUTE(SUBSTITUTE(REGEXREPLACE(I275, ""(\[([ROYGBPTQUXZC_]|1?[0-9])\])"", ""[img=45]res://textures/icons/$2.png[/img]""),""--"",""—""),""-&gt;"",""•""),""~@"", CONCATENATE(""["&amp;"i]"",REGEXEXTRACT(B275,""^([\s\S]*),|$""),""[/i]"")),""~"", CONCATENATE(""[i]"",B275,""[/i]"")),""(\([\s\S]*?\))"",""[i][color=#34343A]$0[/color][/i]""), ""&lt;"", ""[""), ""&gt;"", ""]""), ""[/p][p]"", ""[font_size=15]\n\n[/font_size]""), ""[br/]"", ""\n"")"),"")</f>
        <v/>
      </c>
      <c r="W275" s="4" t="str">
        <f t="shared" si="17"/>
        <v>[i][/i]</v>
      </c>
      <c r="X275" s="4" t="str">
        <f t="shared" si="18"/>
        <v>0</v>
      </c>
    </row>
    <row r="276">
      <c r="A276" s="1" t="s">
        <v>1067</v>
      </c>
      <c r="B276" s="1" t="str">
        <f t="shared" si="15"/>
        <v>BC_024</v>
      </c>
      <c r="C276" s="2"/>
      <c r="D276" s="6" t="str">
        <f>IFERROR(__xludf.DUMMYFUNCTION("IF(EQ(A276,B276),"""",SWITCH(IF(T276="""",0,COUNTA(SPLIT(T276,"" ""))),0,""Generic"",1,TRIM(T276),2,""Multicolor"",3,""Multicolor"",4,""Multicolor"",5,""Multicolor"",6,""Multicolor"",7,""Multicolor"",8,""Multicolor""))"),"")</f>
        <v/>
      </c>
      <c r="E276" s="1"/>
      <c r="F276" s="1"/>
      <c r="H276" s="2"/>
      <c r="I276" s="3"/>
      <c r="J276" s="3"/>
      <c r="O276" s="3"/>
      <c r="Q276" s="1">
        <v>60</v>
      </c>
      <c r="R276" s="1">
        <v>50</v>
      </c>
      <c r="S276" s="4" t="str">
        <f t="shared" si="16"/>
        <v>False</v>
      </c>
      <c r="T276" s="4" t="str">
        <f>IFERROR(__xludf.DUMMYFUNCTION("CONCATENATE(if(REGEXMATCH(C276,""R""),"" Red"",""""),if(REGEXMATCH(C276,""O""),"" Orange"",""""),if(REGEXMATCH(C276,""Y""),"" Yellow"",""""),if(REGEXMATCH(C276,""G""),"" Green"",""""),if(REGEXMATCH(C276,""B""),"" Blue"",""""),if(REGEXMATCH(C276,""P""),"" "&amp;"Purple"",""""))"),"")</f>
        <v/>
      </c>
      <c r="U276" s="4" t="str">
        <f>IFERROR(__xludf.DUMMYFUNCTION("TRIM(CONCAT(""[right]"", REGEXREPLACE(C276, ""([ROYGBPXZC_]|1?[0-9])"", ""[img=119]res://textures/icons/$0.png[/img]\\n"")))"),"[right]")</f>
        <v>[right]</v>
      </c>
      <c r="V276" s="4" t="str">
        <f>IFERROR(__xludf.DUMMYFUNCTION("SUBSTITUTE(SUBSTITUTE(SUBSTITUTE(SUBSTITUTE(REGEXREPLACE(SUBSTITUTE(SUBSTITUTE(SUBSTITUTE(SUBSTITUTE(REGEXREPLACE(I276, ""(\[([ROYGBPTQUXZC_]|1?[0-9])\])"", ""[img=45]res://textures/icons/$2.png[/img]""),""--"",""—""),""-&gt;"",""•""),""~@"", CONCATENATE(""["&amp;"i]"",REGEXEXTRACT(B276,""^([\s\S]*),|$""),""[/i]"")),""~"", CONCATENATE(""[i]"",B276,""[/i]"")),""(\([\s\S]*?\))"",""[i][color=#34343A]$0[/color][/i]""), ""&lt;"", ""[""), ""&gt;"", ""]""), ""[/p][p]"", ""[font_size=15]\n\n[/font_size]""), ""[br/]"", ""\n"")"),"")</f>
        <v/>
      </c>
      <c r="W276" s="4" t="str">
        <f t="shared" si="17"/>
        <v>[i][/i]</v>
      </c>
      <c r="X276" s="4" t="str">
        <f t="shared" si="18"/>
        <v>0</v>
      </c>
    </row>
    <row r="277" outlineLevel="1">
      <c r="A277" s="9" t="s">
        <v>1068</v>
      </c>
      <c r="B277" s="1" t="s">
        <v>1069</v>
      </c>
      <c r="C277" s="5" t="s">
        <v>1070</v>
      </c>
      <c r="D277" s="6" t="str">
        <f>IFERROR(__xludf.DUMMYFUNCTION("IF(EQ(A277,B277),"""",SWITCH(IF(T277="""",0,COUNTA(SPLIT(T277,"" ""))),0,""Generic"",1,TRIM(T277),2,""Multicolor"",3,""Multicolor"",4,""Multicolor"",5,""Multicolor"",6,""Multicolor"",7,""Multicolor"",8,""Multicolor""))"),"Purple")</f>
        <v>Purple</v>
      </c>
      <c r="E277" s="4"/>
      <c r="F277" s="4" t="s">
        <v>73</v>
      </c>
      <c r="G277" s="4" t="s">
        <v>1071</v>
      </c>
      <c r="H277" s="5" t="s">
        <v>129</v>
      </c>
      <c r="I277" s="3" t="s">
        <v>1072</v>
      </c>
      <c r="J277" s="17" t="s">
        <v>1073</v>
      </c>
      <c r="K277" s="8"/>
      <c r="L277" s="8"/>
      <c r="O277" s="3"/>
      <c r="Q277" s="1">
        <v>60</v>
      </c>
      <c r="R277" s="1">
        <v>50</v>
      </c>
      <c r="S277" s="4" t="str">
        <f t="shared" si="16"/>
        <v>False</v>
      </c>
      <c r="T277" s="4" t="str">
        <f>IFERROR(__xludf.DUMMYFUNCTION("CONCATENATE(if(REGEXMATCH(C277,""R""),"" Red"",""""),if(REGEXMATCH(C277,""O""),"" Orange"",""""),if(REGEXMATCH(C277,""Y""),"" Yellow"",""""),if(REGEXMATCH(C277,""G""),"" Green"",""""),if(REGEXMATCH(C277,""B""),"" Blue"",""""),if(REGEXMATCH(C277,""P""),"" "&amp;"Purple"",""""))")," Purple")</f>
        <v>Purple</v>
      </c>
      <c r="U277" s="4" t="str">
        <f>IFERROR(__xludf.DUMMYFUNCTION("TRIM(CONCAT(""[right]"", REGEXREPLACE(C277, ""([ROYGBPXZC_]|1?[0-9])"", ""[img=119]res://textures/icons/$0.png[/img]\\n"")))"),"[right][img=119]res://textures/icons/P.png[/img]\n[img=119]res://textures/icons/P.png[/img]\n[img=119]res://textures/icons/P.png[/img]\n")</f>
        <v>[right][img=119]res://textures/icons/P.png[/img]\n[img=119]res://textures/icons/P.png[/img]\n[img=119]res://textures/icons/P.png[/img]\n</v>
      </c>
      <c r="V277" s="4" t="str">
        <f>IFERROR(__xludf.DUMMYFUNCTION("SUBSTITUTE(SUBSTITUTE(SUBSTITUTE(SUBSTITUTE(REGEXREPLACE(SUBSTITUTE(SUBSTITUTE(SUBSTITUTE(SUBSTITUTE(REGEXREPLACE(I277, ""(\[([ROYGBPTQUXZC_]|1?[0-9])\])"", ""[img=45]res://textures/icons/$2.png[/img]""),""--"",""—""),""-&gt;"",""•""),""~@"", CONCATENATE(""["&amp;"i]"",REGEXEXTRACT(B277,""^([\s\S]*),|$""),""[/i]"")),""~"", CONCATENATE(""[i]"",B277,""[/i]"")),""(\([\s\S]*?\))"",""[i][color=#34343A]$0[/color][/i]""), ""&lt;"", ""[""), ""&gt;"", ""]""), ""[/p][p]"", ""[font_size=15]\n\n[/font_size]""), ""[br/]"", ""\n"")"),"[center][i][color=#34343A](Becomes [i]'Quantum Timeline Analysis'[/i] if you already control [i]The Director[/i].)[/color][/i][/center][p]At the beginning of each other player's turn they reveal a non-revealed card from their hand.[font_size=15]\n\n[/font"&amp;"_size][b][i]As Asset[/i] —[/b] Whenever an opponent reveals any number of non-revealed cards in their hand, draw a card.[/p]")</f>
        <v xml:space="preserve">[center][i][color=#34343A](Becomes [i]'Quantum Timeline Analysis'[/i] if you already control [i]The Director[/i].)[/color][/i][/center][p]At the beginning of each other player's turn they reveal a non-revealed card from their hand.[font_size=15]\n\n[/font_size][b][i]As Asset[/i] —[/b] Whenever an opponent reveals any number of non-revealed cards in their hand, draw a card.[/p]</v>
      </c>
      <c r="W277" s="4" t="str">
        <f t="shared" si="17"/>
        <v>[i]Commander[/i]</v>
      </c>
      <c r="X277" s="4" t="str">
        <f t="shared" si="18"/>
        <v>RT_P_CMDR_1</v>
      </c>
    </row>
    <row r="278" outlineLevel="1">
      <c r="A278" s="1" t="s">
        <v>1074</v>
      </c>
      <c r="B278" s="1" t="s">
        <v>1075</v>
      </c>
      <c r="C278" s="2" t="s">
        <v>1076</v>
      </c>
      <c r="D278" s="6" t="str">
        <f>IFERROR(__xludf.DUMMYFUNCTION("IF(EQ(A278,B278),"""",SWITCH(IF(T278="""",0,COUNTA(SPLIT(T278,"" ""))),0,""Generic"",1,TRIM(T278),2,""Multicolor"",3,""Multicolor"",4,""Multicolor"",5,""Multicolor"",6,""Multicolor"",7,""Multicolor"",8,""Multicolor""))"),"Purple")</f>
        <v>Purple</v>
      </c>
      <c r="E278" s="1"/>
      <c r="F278" s="1" t="s">
        <v>87</v>
      </c>
      <c r="G278" s="1" t="s">
        <v>203</v>
      </c>
      <c r="H278" s="2" t="s">
        <v>25</v>
      </c>
      <c r="I278" s="17" t="s">
        <v>1077</v>
      </c>
      <c r="J278" s="3"/>
      <c r="O278" s="3"/>
      <c r="Q278" s="1">
        <v>45</v>
      </c>
      <c r="R278" s="1">
        <v>45</v>
      </c>
      <c r="S278" s="4" t="str">
        <f t="shared" si="16"/>
        <v>False</v>
      </c>
      <c r="T278" s="4" t="str">
        <f>IFERROR(__xludf.DUMMYFUNCTION("CONCATENATE(if(REGEXMATCH(C278,""R""),"" Red"",""""),if(REGEXMATCH(C278,""O""),"" Orange"",""""),if(REGEXMATCH(C278,""Y""),"" Yellow"",""""),if(REGEXMATCH(C278,""G""),"" Green"",""""),if(REGEXMATCH(C278,""B""),"" Blue"",""""),if(REGEXMATCH(C278,""P""),"" "&amp;"Purple"",""""))")," Purple")</f>
        <v>Purple</v>
      </c>
      <c r="U278" s="4" t="str">
        <f>IFERROR(__xludf.DUMMYFUNCTION("TRIM(CONCAT(""[right]"", REGEXREPLACE(C278, ""([ROYGBPXZC_]|1?[0-9])"", ""[img=119]res://textures/icons/$0.png[/img]\\n"")))"),"[right][img=119]res://textures/icons/X.png[/img]\n[img=119]res://textures/icons/P.png[/img]\n")</f>
        <v>[right][img=119]res://textures/icons/X.png[/img]\n[img=119]res://textures/icons/P.png[/img]\n</v>
      </c>
      <c r="V278" s="4" t="str">
        <f>IFERROR(__xludf.DUMMYFUNCTION("SUBSTITUTE(SUBSTITUTE(SUBSTITUTE(SUBSTITUTE(REGEXREPLACE(SUBSTITUTE(SUBSTITUTE(SUBSTITUTE(SUBSTITUTE(REGEXREPLACE(I278, ""(\[([ROYGBPTQUXZC_]|1?[0-9])\])"", ""[img=45]res://textures/icons/$2.png[/img]""),""--"",""—""),""-&gt;"",""•""),""~@"", CONCATENATE(""["&amp;"i]"",REGEXEXTRACT(B278,""^([\s\S]*),|$""),""[/i]"")),""~"", CONCATENATE(""[i]"",B278,""[/i]"")),""(\([\s\S]*?\))"",""[i][color=#34343A]$0[/color][/i]""), ""&lt;"", ""[""), ""&gt;"", ""]""), ""[/p][p]"", ""[font_size=15]\n\n[/font_size]""), ""[br/]"", ""\n"")"),"[center][i][color=#34343A](This effect can only be deployed if you control a renowned asset. Banked energy can't be spent to deploy renowned cards.)[/color][/i][/center][p]Each player looks at the top [img=45]res://textures/icons/X.png[/img] cards of thei"&amp;"r deck, then draws up to 2 of them.[font_size=15]\n\n[/font_size][u]Personal[/u] [i][color=#34343A](Shuffle [i]'The Director'[/i] into your deck.)[/color][/i][/p]")</f>
        <v xml:space="preserve">[center][i][color=#34343A](This effect can only be deployed if you control a renowned asset. Banked energy can't be spent to deploy renowned cards.)[/color][/i][/center][p]Each player looks at the top [img=45]res://textures/icons/X.png[/img] cards of their deck, then draws up to 2 of them.[font_size=15]\n\n[/font_size][u]Personal[/u] [i][color=#34343A](Shuffle [i]'The Director'[/i] into your deck.)[/color][/i][/p]</v>
      </c>
      <c r="W278" s="4" t="str">
        <f t="shared" si="17"/>
        <v xml:space="preserve">[i]R. Effect[/i]</v>
      </c>
      <c r="X278" s="4" t="str">
        <f t="shared" si="18"/>
        <v>RT_P_CMDR_1b</v>
      </c>
    </row>
    <row r="279" outlineLevel="1">
      <c r="A279" s="1" t="s">
        <v>1078</v>
      </c>
      <c r="B279" s="4" t="s">
        <v>1079</v>
      </c>
      <c r="C279" s="5" t="s">
        <v>1080</v>
      </c>
      <c r="D279" s="6" t="str">
        <f>IFERROR(__xludf.DUMMYFUNCTION("IF(EQ(A279,B279),"""",SWITCH(IF(T279="""",0,COUNTA(SPLIT(T279,"" ""))),0,""Generic"",1,TRIM(T279),2,""Multicolor"",3,""Multicolor"",4,""Multicolor"",5,""Multicolor"",6,""Multicolor"",7,""Multicolor"",8,""Multicolor""))"),"Purple")</f>
        <v>Purple</v>
      </c>
      <c r="E279" s="4"/>
      <c r="F279" s="4" t="s">
        <v>26</v>
      </c>
      <c r="G279" s="4" t="s">
        <v>682</v>
      </c>
      <c r="H279" s="5" t="s">
        <v>129</v>
      </c>
      <c r="I279" s="3" t="s">
        <v>1081</v>
      </c>
      <c r="J279" s="7"/>
      <c r="O279" s="3"/>
      <c r="Q279" s="1">
        <v>45</v>
      </c>
      <c r="R279" s="1">
        <v>50</v>
      </c>
      <c r="S279" s="4" t="str">
        <f t="shared" si="16"/>
        <v>False</v>
      </c>
      <c r="T279" s="4" t="str">
        <f>IFERROR(__xludf.DUMMYFUNCTION("CONCATENATE(if(REGEXMATCH(C279,""R""),"" Red"",""""),if(REGEXMATCH(C279,""O""),"" Orange"",""""),if(REGEXMATCH(C279,""Y""),"" Yellow"",""""),if(REGEXMATCH(C279,""G""),"" Green"",""""),if(REGEXMATCH(C279,""B""),"" Blue"",""""),if(REGEXMATCH(C279,""P""),"" "&amp;"Purple"",""""))")," Purple")</f>
        <v>Purple</v>
      </c>
      <c r="U279" s="4" t="str">
        <f>IFERROR(__xludf.DUMMYFUNCTION("TRIM(CONCAT(""[right]"", REGEXREPLACE(C279, ""([ROYGBPXZC_]|1?[0-9])"", ""[img=119]res://textures/icons/$0.png[/img]\\n"")))"),"[right][img=119]res://textures/icons/P.png[/img]\n[img=119]res://textures/icons/P.png[/img]\n")</f>
        <v>[right][img=119]res://textures/icons/P.png[/img]\n[img=119]res://textures/icons/P.png[/img]\n</v>
      </c>
      <c r="V279" s="4" t="str">
        <f>IFERROR(__xludf.DUMMYFUNCTION("SUBSTITUTE(SUBSTITUTE(SUBSTITUTE(SUBSTITUTE(REGEXREPLACE(SUBSTITUTE(SUBSTITUTE(SUBSTITUTE(SUBSTITUTE(REGEXREPLACE(I279, ""(\[([ROYGBPTQUXZC_]|1?[0-9])\])"", ""[img=45]res://textures/icons/$2.png[/img]""),""--"",""—""),""-&gt;"",""•""),""~@"", CONCATENATE(""["&amp;"i]"",REGEXEXTRACT(B279,""^([\s\S]*),|$""),""[/i]"")),""~"", CONCATENATE(""[i]"",B279,""[/i]"")),""(\([\s\S]*?\))"",""[i][color=#34343A]$0[/color][/i]""), ""&lt;"", ""[""), ""&gt;"", ""]""), ""[/p][p]"", ""[font_size=15]\n\n[/font_size]""), ""[br/]"", ""\n"")"),"[p]Each player draws an additional card at the beginning of their turn.[font_size=15]\n\n[/font_size]If [i]Information Processor[/i] is inside a vehicle, whenever a player draws a card due to a source not named [i]Information Processor[/i], each other pla"&amp;"yer draws a card.[/p]")</f>
        <v xml:space="preserve">[p]Each player draws an additional card at the beginning of their turn.[font_size=15]\n\n[/font_size]If [i]Information Processor[/i] is inside a vehicle, whenever a player draws a card due to a source not named [i]Information Processor[/i], each other player draws a card.[/p]</v>
      </c>
      <c r="W279" s="4" t="str">
        <f t="shared" si="17"/>
        <v>[i]Asset[/i]</v>
      </c>
      <c r="X279" s="4" t="str">
        <f t="shared" si="18"/>
        <v>RT_PR_001</v>
      </c>
    </row>
    <row r="280" outlineLevel="1">
      <c r="A280" s="1" t="s">
        <v>1082</v>
      </c>
      <c r="B280" s="4" t="s">
        <v>1083</v>
      </c>
      <c r="C280" s="5" t="s">
        <v>1084</v>
      </c>
      <c r="D280" s="6" t="str">
        <f>IFERROR(__xludf.DUMMYFUNCTION("IF(ISBLANK(A280),"""",SWITCH(IF(T280="""",0,COUNTA(SPLIT(T280,"" ""))),0,""Generic"",1,TRIM(T280),2,""Multicolor"",3,""Multicolor"",4,""Multicolor"",5,""Multicolor"",6,""Multicolor"",7,""Multicolor"",8,""Multicolor""))"),"Purple")</f>
        <v>Purple</v>
      </c>
      <c r="E280" s="4"/>
      <c r="F280" s="4" t="s">
        <v>26</v>
      </c>
      <c r="G280" s="4" t="s">
        <v>1085</v>
      </c>
      <c r="H280" s="5" t="s">
        <v>81</v>
      </c>
      <c r="I280" s="7" t="s">
        <v>1086</v>
      </c>
      <c r="J280" s="7" t="s">
        <v>1087</v>
      </c>
      <c r="O280" s="3"/>
      <c r="Q280" s="1">
        <v>45</v>
      </c>
      <c r="R280" s="1">
        <v>50</v>
      </c>
      <c r="S280" s="4" t="str">
        <f t="shared" si="16"/>
        <v>False</v>
      </c>
      <c r="T280" s="4" t="str">
        <f>IFERROR(__xludf.DUMMYFUNCTION("CONCATENATE(if(REGEXMATCH(C280,""R""),"" Red"",""""),if(REGEXMATCH(C280,""O""),"" Orange"",""""),if(REGEXMATCH(C280,""Y""),"" Yellow"",""""),if(REGEXMATCH(C280,""G""),"" Green"",""""),if(REGEXMATCH(C280,""B""),"" Blue"",""""),if(REGEXMATCH(C280,""P""),"" "&amp;"Purple"",""""))")," Purple")</f>
        <v>Purple</v>
      </c>
      <c r="U280" s="4" t="str">
        <f>IFERROR(__xludf.DUMMYFUNCTION("TRIM(CONCAT(""[right]"", REGEXREPLACE(C280, ""([ROYGBPXZC_]|1?[0-9])"", ""[img=119]res://textures/icons/$0.png[/img]\\n"")))"),"[right][img=119]res://textures/icons/1.png[/img]\n[img=119]res://textures/icons/P.png[/img]\n[img=119]res://textures/icons/P.png[/img]\n")</f>
        <v>[right][img=119]res://textures/icons/1.png[/img]\n[img=119]res://textures/icons/P.png[/img]\n[img=119]res://textures/icons/P.png[/img]\n</v>
      </c>
      <c r="V280" s="4" t="str">
        <f>IFERROR(__xludf.DUMMYFUNCTION("SUBSTITUTE(SUBSTITUTE(SUBSTITUTE(SUBSTITUTE(REGEXREPLACE(SUBSTITUTE(SUBSTITUTE(SUBSTITUTE(SUBSTITUTE(REGEXREPLACE(I280, ""(\[([ROYGBPTQUXZC_]|1?[0-9])\])"", ""[img=45]res://textures/icons/$2.png[/img]""),""--"",""—""),""-&gt;"",""•""),""~@"", CONCATENATE(""["&amp;"i]"",REGEXEXTRACT(B280,""^([\s\S]*),|$""),""[/i]"")),""~"", CONCATENATE(""[i]"",B280,""[/i]"")),""(\([\s\S]*?\))"",""[i][color=#34343A]$0[/color][/i]""), ""&lt;"", ""[""), ""&gt;"", ""]""), ""[/p][p]"", ""[font_size=15]\n\n[/font_size]""), ""[br/]"", ""\n"")"),"[center]Whenever an opponent reveals any number of non-revealed cards in their hand, draw a card.[/center]")</f>
        <v xml:space="preserve">[center]Whenever an opponent reveals any number of non-revealed cards in their hand, draw a card.[/center]</v>
      </c>
      <c r="W280" s="4" t="str">
        <f t="shared" si="17"/>
        <v>[i]Asset[/i]</v>
      </c>
      <c r="X280" s="4" t="str">
        <f t="shared" si="18"/>
        <v>RT_PR_002</v>
      </c>
    </row>
    <row r="281" outlineLevel="1">
      <c r="A281" s="1" t="s">
        <v>1088</v>
      </c>
      <c r="B281" s="4" t="s">
        <v>1089</v>
      </c>
      <c r="C281" s="5" t="s">
        <v>1090</v>
      </c>
      <c r="D281" s="6" t="str">
        <f>IFERROR(__xludf.DUMMYFUNCTION("IF(ISBLANK(A281),"""",SWITCH(IF(T281="""",0,COUNTA(SPLIT(T281,"" ""))),0,""Generic"",1,TRIM(T281),2,""Multicolor"",3,""Multicolor"",4,""Multicolor"",5,""Multicolor"",6,""Multicolor"",7,""Multicolor"",8,""Multicolor""))"),"Purple")</f>
        <v>Purple</v>
      </c>
      <c r="E281" s="4"/>
      <c r="F281" s="4" t="s">
        <v>33</v>
      </c>
      <c r="G281" s="4"/>
      <c r="H281" s="5" t="s">
        <v>81</v>
      </c>
      <c r="I281" s="7" t="s">
        <v>1091</v>
      </c>
      <c r="J281" s="7" t="s">
        <v>1092</v>
      </c>
      <c r="O281" s="3"/>
      <c r="Q281" s="1">
        <v>50</v>
      </c>
      <c r="R281" s="1">
        <v>50</v>
      </c>
      <c r="S281" s="4" t="str">
        <f t="shared" si="16"/>
        <v>False</v>
      </c>
      <c r="T281" s="4" t="str">
        <f>IFERROR(__xludf.DUMMYFUNCTION("CONCATENATE(if(REGEXMATCH(C281,""R""),"" Red"",""""),if(REGEXMATCH(C281,""O""),"" Orange"",""""),if(REGEXMATCH(C281,""Y""),"" Yellow"",""""),if(REGEXMATCH(C281,""G""),"" Green"",""""),if(REGEXMATCH(C281,""B""),"" Blue"",""""),if(REGEXMATCH(C281,""P""),"" "&amp;"Purple"",""""))")," Purple")</f>
        <v>Purple</v>
      </c>
      <c r="U281" s="4" t="str">
        <f>IFERROR(__xludf.DUMMYFUNCTION("TRIM(CONCAT(""[right]"", REGEXREPLACE(C281, ""([ROYGBPXZC_]|1?[0-9])"", ""[img=119]res://textures/icons/$0.png[/img]\\n"")))"),"[right][img=119]res://textures/icons/4.png[/img]\n[img=119]res://textures/icons/P.png[/img]\n[img=119]res://textures/icons/P.png[/img]\n[img=119]res://textures/icons/P.png[/img]\n")</f>
        <v>[right][img=119]res://textures/icons/4.png[/img]\n[img=119]res://textures/icons/P.png[/img]\n[img=119]res://textures/icons/P.png[/img]\n[img=119]res://textures/icons/P.png[/img]\n</v>
      </c>
      <c r="V281" s="4" t="str">
        <f>IFERROR(__xludf.DUMMYFUNCTION("SUBSTITUTE(SUBSTITUTE(SUBSTITUTE(SUBSTITUTE(REGEXREPLACE(SUBSTITUTE(SUBSTITUTE(SUBSTITUTE(SUBSTITUTE(REGEXREPLACE(I281, ""(\[([ROYGBPTQUXZC_]|1?[0-9])\])"", ""[img=45]res://textures/icons/$2.png[/img]""),""--"",""—""),""-&gt;"",""•""),""~@"", CONCATENATE(""["&amp;"i]"",REGEXEXTRACT(B281,""^([\s\S]*),|$""),""[/i]"")),""~"", CONCATENATE(""[i]"",B281,""[/i]"")),""(\([\s\S]*?\))"",""[i][color=#34343A]$0[/color][/i]""), ""&lt;"", ""[""), ""&gt;"", ""]""), ""[/p][p]"", ""[font_size=15]\n\n[/font_size]""), ""[br/]"", ""\n"")"),"[center][u]Doubt 2[/u] [i][color=#34343A](When you deploy [i]Confused Loyalties[/i], shuffle 2 'Doubt's into your deck.)[/color][/i][/center][p]Choose 2 players; swap control of all assets they control.[/p]")</f>
        <v xml:space="preserve">[center][u]Doubt 2[/u] [i][color=#34343A](When you deploy [i]Confused Loyalties[/i], shuffle 2 'Doubt's into your deck.)[/color][/i][/center][p]Choose 2 players; swap control of all assets they control.[/p]</v>
      </c>
      <c r="W281" s="4" t="str">
        <f t="shared" si="17"/>
        <v>[i]Effect[/i]</v>
      </c>
      <c r="X281" s="4" t="str">
        <f t="shared" si="18"/>
        <v>RT_PR_003</v>
      </c>
    </row>
    <row r="282" outlineLevel="1">
      <c r="A282" s="1" t="s">
        <v>1093</v>
      </c>
      <c r="B282" s="1" t="s">
        <v>1094</v>
      </c>
      <c r="C282" s="2" t="s">
        <v>1095</v>
      </c>
      <c r="D282" s="6" t="str">
        <f>IFERROR(__xludf.DUMMYFUNCTION("IF(EQ(A282,B282),"""",SWITCH(IF(T282="""",0,COUNTA(SPLIT(T282,"" ""))),0,""Generic"",1,TRIM(T282),2,""Multicolor"",3,""Multicolor"",4,""Multicolor"",5,""Multicolor"",6,""Multicolor"",7,""Multicolor"",8,""Multicolor""))"),"Purple")</f>
        <v>Purple</v>
      </c>
      <c r="E282" s="1"/>
      <c r="F282" s="1" t="s">
        <v>87</v>
      </c>
      <c r="H282" s="2" t="s">
        <v>96</v>
      </c>
      <c r="I282" s="7" t="s">
        <v>1096</v>
      </c>
      <c r="J282" s="3"/>
      <c r="O282" s="3"/>
      <c r="Q282" s="1">
        <v>45</v>
      </c>
      <c r="R282" s="1">
        <v>50</v>
      </c>
      <c r="S282" s="4" t="str">
        <f t="shared" si="16"/>
        <v>False</v>
      </c>
      <c r="T282" s="4" t="str">
        <f>IFERROR(__xludf.DUMMYFUNCTION("CONCATENATE(if(REGEXMATCH(C282,""R""),"" Red"",""""),if(REGEXMATCH(C282,""O""),"" Orange"",""""),if(REGEXMATCH(C282,""Y""),"" Yellow"",""""),if(REGEXMATCH(C282,""G""),"" Green"",""""),if(REGEXMATCH(C282,""B""),"" Blue"",""""),if(REGEXMATCH(C282,""P""),"" "&amp;"Purple"",""""))")," Purple")</f>
        <v>Purple</v>
      </c>
      <c r="U282" s="4" t="str">
        <f>IFERROR(__xludf.DUMMYFUNCTION("TRIM(CONCAT(""[right]"", REGEXREPLACE(C282, ""([ROYGBPXZC_]|1?[0-9])"", ""[img=119]res://textures/icons/$0.png[/img]\\n"")))"),"[right][img=119]res://textures/icons/3.png[/img]\n[img=119]res://textures/icons/P.png[/img]\n[img=119]res://textures/icons/P.png[/img]\n")</f>
        <v>[right][img=119]res://textures/icons/3.png[/img]\n[img=119]res://textures/icons/P.png[/img]\n[img=119]res://textures/icons/P.png[/img]\n</v>
      </c>
      <c r="V282" s="4" t="str">
        <f>IFERROR(__xludf.DUMMYFUNCTION("SUBSTITUTE(SUBSTITUTE(SUBSTITUTE(SUBSTITUTE(REGEXREPLACE(SUBSTITUTE(SUBSTITUTE(SUBSTITUTE(SUBSTITUTE(REGEXREPLACE(I282, ""(\[([ROYGBPTQUXZC_]|1?[0-9])\])"", ""[img=45]res://textures/icons/$2.png[/img]""),""--"",""—""),""-&gt;"",""•""),""~@"", CONCATENATE(""["&amp;"i]"",REGEXEXTRACT(B282,""^([\s\S]*),|$""),""[/i]"")),""~"", CONCATENATE(""[i]"",B282,""[/i]"")),""(\([\s\S]*?\))"",""[i][color=#34343A]$0[/color][/i]""), ""&lt;"", ""[""), ""&gt;"", ""]""), ""[/p][p]"", ""[font_size=15]\n\n[/font_size]""), ""[br/]"", ""\n"")"),"[center][i][color=#34343A](This effect can only be deployed [or prepared] if you control a renowned permanent. Banked energy can't be spent to deploy renowned cards.)[/color][/i]\n[u]Prepare 4 — [img=45]res://textures/icons/P.png[/img][/u] [i][color=#3434"&amp;"3A](Pay [img=45]res://textures/icons/P.png[/img] and put [i]Careful Preparation[/i] into your deck fourth from the top. When you would draw [i]Careful Preparation[/i], instead deploy it without paying its cost.)[/color][/i][/center][p]Draw 3 cards.[/p]")</f>
        <v xml:space="preserve">[center][i][color=#34343A](This effect can only be deployed [or prepared] if you control a renowned permanent. Banked energy can't be spent to deploy renowned cards.)[/color][/i]\n[u]Prepare 4 — [img=45]res://textures/icons/P.png[/img][/u] [i][color=#34343A](Pay [img=45]res://textures/icons/P.png[/img] and put [i]Careful Preparation[/i] into your deck fourth from the top. When you would draw [i]Careful Preparation[/i], instead deploy it without paying its cost.)[/color][/i][/center][p]Draw 3 cards.[/p]</v>
      </c>
      <c r="W282" s="4" t="str">
        <f t="shared" si="17"/>
        <v xml:space="preserve">[i]R. Effect[/i]</v>
      </c>
      <c r="X282" s="4" t="str">
        <f t="shared" si="18"/>
        <v>RT_PR_004</v>
      </c>
    </row>
    <row r="283" outlineLevel="1">
      <c r="A283" s="4" t="s">
        <v>1097</v>
      </c>
      <c r="B283" s="4" t="s">
        <v>1098</v>
      </c>
      <c r="C283" s="5" t="s">
        <v>1084</v>
      </c>
      <c r="D283" s="6" t="str">
        <f>IFERROR(__xludf.DUMMYFUNCTION("IF(EQ(A283,B283),"""",SWITCH(IF(T283="""",0,COUNTA(SPLIT(T283,"" ""))),0,""Generic"",1,TRIM(T283),2,""Multicolor"",3,""Multicolor"",4,""Multicolor"",5,""Multicolor"",6,""Multicolor"",7,""Multicolor"",8,""Multicolor""))"),"Purple")</f>
        <v>Purple</v>
      </c>
      <c r="E283" s="4"/>
      <c r="F283" s="4" t="s">
        <v>26</v>
      </c>
      <c r="G283" s="4" t="s">
        <v>1099</v>
      </c>
      <c r="H283" s="5" t="s">
        <v>129</v>
      </c>
      <c r="I283" s="3" t="s">
        <v>1100</v>
      </c>
      <c r="J283" s="7"/>
      <c r="K283" s="4" t="s">
        <v>29</v>
      </c>
      <c r="L283" s="4" t="s">
        <v>29</v>
      </c>
      <c r="M283" s="4"/>
      <c r="N283" s="4"/>
      <c r="O283" s="4"/>
      <c r="P283" s="4"/>
      <c r="Q283" s="8">
        <v>60</v>
      </c>
      <c r="R283" s="8">
        <v>30</v>
      </c>
      <c r="S283" s="4" t="str">
        <f t="shared" si="16"/>
        <v>False</v>
      </c>
      <c r="T283" s="4" t="str">
        <f>IFERROR(__xludf.DUMMYFUNCTION("CONCATENATE(if(REGEXMATCH(C283,""R""),"" Red"",""""),if(REGEXMATCH(C283,""O""),"" Orange"",""""),if(REGEXMATCH(C283,""Y""),"" Yellow"",""""),if(REGEXMATCH(C283,""G""),"" Green"",""""),if(REGEXMATCH(C283,""B""),"" Blue"",""""),if(REGEXMATCH(C283,""P""),"" "&amp;"Purple"",""""))")," Purple")</f>
        <v>Purple</v>
      </c>
      <c r="U283" s="4" t="str">
        <f>IFERROR(__xludf.DUMMYFUNCTION("TRIM(CONCAT(""[right]"", REGEXREPLACE(C283, ""([ROYGBPXZC_]|1?[0-9])"", ""[img=119]res://textures/icons/$0.png[/img]\\n"")))"),"[right][img=119]res://textures/icons/1.png[/img]\n[img=119]res://textures/icons/P.png[/img]\n[img=119]res://textures/icons/P.png[/img]\n")</f>
        <v>[right][img=119]res://textures/icons/1.png[/img]\n[img=119]res://textures/icons/P.png[/img]\n[img=119]res://textures/icons/P.png[/img]\n</v>
      </c>
      <c r="V283" s="4" t="str">
        <f>IFERROR(__xludf.DUMMYFUNCTION("SUBSTITUTE(SUBSTITUTE(SUBSTITUTE(SUBSTITUTE(REGEXREPLACE(SUBSTITUTE(SUBSTITUTE(SUBSTITUTE(SUBSTITUTE(REGEXREPLACE(I283, ""(\[([ROYGBPTQUXZC_]|1?[0-9])\])"", ""[img=45]res://textures/icons/$2.png[/img]""),""--"",""—""),""-&gt;"",""•""),""~@"", CONCATENATE(""["&amp;"i]"",REGEXEXTRACT(B283,""^([\s\S]*),|$""),""[/i]"")),""~"", CONCATENATE(""[i]"",B283,""[/i]"")),""(\([\s\S]*?\))"",""[i][color=#34343A]$0[/color][/i]""), ""&lt;"", ""[""), ""&gt;"", ""]""), ""[/p][p]"", ""[font_size=15]\n\n[/font_size]""), ""[br/]"", ""\n"")"),"When exaLink's Flagship enters the battlefield, choose a commander to attach it to.[p]The attached commander's controller plays with their hand revealed. Whenever they draw a card, you may draw a card.[/p]")</f>
        <v xml:space="preserve">When exaLink's Flagship enters the battlefield, choose a commander to attach it to.[p]The attached commander's controller plays with their hand revealed. Whenever they draw a card, you may draw a card.[/p]</v>
      </c>
      <c r="W283" s="4" t="str">
        <f t="shared" si="17"/>
        <v>[i]Asset[/i]</v>
      </c>
      <c r="X283" s="4" t="str">
        <f t="shared" si="18"/>
        <v>RT_PU_001</v>
      </c>
    </row>
    <row r="284" outlineLevel="1">
      <c r="A284" s="1" t="s">
        <v>1101</v>
      </c>
      <c r="B284" s="1" t="s">
        <v>1102</v>
      </c>
      <c r="C284" s="2" t="s">
        <v>1103</v>
      </c>
      <c r="D284" s="6" t="str">
        <f>IFERROR(__xludf.DUMMYFUNCTION("IF(EQ(A284,B284),"""",SWITCH(IF(T284="""",0,COUNTA(SPLIT(T284,"" ""))),0,""Generic"",1,TRIM(T284),2,""Multicolor"",3,""Multicolor"",4,""Multicolor"",5,""Multicolor"",6,""Multicolor"",7,""Multicolor"",8,""Multicolor""))"),"Purple")</f>
        <v>Purple</v>
      </c>
      <c r="E284" s="1"/>
      <c r="F284" s="1" t="s">
        <v>33</v>
      </c>
      <c r="G284" s="1" t="s">
        <v>320</v>
      </c>
      <c r="H284" s="2" t="s">
        <v>129</v>
      </c>
      <c r="I284" s="7" t="s">
        <v>1104</v>
      </c>
      <c r="J284" s="3"/>
      <c r="O284" s="3"/>
      <c r="Q284" s="1">
        <v>60</v>
      </c>
      <c r="R284" s="1">
        <v>50</v>
      </c>
      <c r="S284" s="4" t="str">
        <f t="shared" si="16"/>
        <v>False</v>
      </c>
      <c r="T284" s="4" t="str">
        <f>IFERROR(__xludf.DUMMYFUNCTION("CONCATENATE(if(REGEXMATCH(C284,""R""),"" Red"",""""),if(REGEXMATCH(C284,""O""),"" Orange"",""""),if(REGEXMATCH(C284,""Y""),"" Yellow"",""""),if(REGEXMATCH(C284,""G""),"" Green"",""""),if(REGEXMATCH(C284,""B""),"" Blue"",""""),if(REGEXMATCH(C284,""P""),"" "&amp;"Purple"",""""))")," Purple")</f>
        <v>Purple</v>
      </c>
      <c r="U284" s="4" t="str">
        <f>IFERROR(__xludf.DUMMYFUNCTION("TRIM(CONCAT(""[right]"", REGEXREPLACE(C284, ""([ROYGBPXZC_]|1?[0-9])"", ""[img=119]res://textures/icons/$0.png[/img]\\n"")))"),"[right][img=119]res://textures/icons/P.png[/img]\n")</f>
        <v>[right][img=119]res://textures/icons/P.png[/img]\n</v>
      </c>
      <c r="V284" s="4" t="str">
        <f>IFERROR(__xludf.DUMMYFUNCTION("SUBSTITUTE(SUBSTITUTE(SUBSTITUTE(SUBSTITUTE(REGEXREPLACE(SUBSTITUTE(SUBSTITUTE(SUBSTITUTE(SUBSTITUTE(REGEXREPLACE(I284, ""(\[([ROYGBPTQUXZC_]|1?[0-9])\])"", ""[img=45]res://textures/icons/$2.png[/img]""),""--"",""—""),""-&gt;"",""•""),""~@"", CONCATENATE(""["&amp;"i]"",REGEXEXTRACT(B284,""^([\s\S]*),|$""),""[/i]"")),""~"", CONCATENATE(""[i]"",B284,""[/i]"")),""(\([\s\S]*?\))"",""[i][color=#34343A]$0[/color][/i]""), ""&lt;"", ""[""), ""&gt;"", ""]""), ""[/p][p]"", ""[font_size=15]\n\n[/font_size]""), ""[br/]"", ""\n"")"),"[center][u]Retribution[/u] [i][color=#34343A](When you draw [i]Curfew[/i] as a result of taking damage, you may deploy it without paying its cost.)[/color][/i][/center][p]Choose an asset; return all cards with the same name to their owner's hands. They lo"&amp;"se all [u]stat modifications[/u] [i][color=#34343A](Added/changed words, attack power, health, or ranged status.)[/color][/i][/p]")</f>
        <v xml:space="preserve">[center][u]Retribution[/u] [i][color=#34343A](When you draw [i]Curfew[/i] as a result of taking damage, you may deploy it without paying its cost.)[/color][/i][/center][p]Choose an asset; return all cards with the same name to their owner's hands. They lose all [u]stat modifications[/u] [i][color=#34343A](Added/changed words, attack power, health, or ranged status.)[/color][/i][/p]</v>
      </c>
      <c r="W284" s="4" t="str">
        <f t="shared" si="17"/>
        <v>[i]Effect[/i]</v>
      </c>
      <c r="X284" s="4" t="str">
        <f t="shared" si="18"/>
        <v>RT_PU_002</v>
      </c>
    </row>
    <row r="285" outlineLevel="1">
      <c r="A285" s="1" t="s">
        <v>1105</v>
      </c>
      <c r="B285" s="4" t="s">
        <v>1106</v>
      </c>
      <c r="C285" s="5" t="s">
        <v>1107</v>
      </c>
      <c r="D285" s="6" t="str">
        <f>IFERROR(__xludf.DUMMYFUNCTION("IF(ISBLANK(A285),"""",SWITCH(IF(T285="""",0,COUNTA(SPLIT(T285,"" ""))),0,""Generic"",1,TRIM(T285),2,""Multicolor"",3,""Multicolor"",4,""Multicolor"",5,""Multicolor"",6,""Multicolor"",7,""Multicolor"",8,""Multicolor""))"),"Purple")</f>
        <v>Purple</v>
      </c>
      <c r="E285" s="4"/>
      <c r="F285" s="4" t="s">
        <v>33</v>
      </c>
      <c r="G285" s="4" t="s">
        <v>232</v>
      </c>
      <c r="H285" s="5" t="s">
        <v>119</v>
      </c>
      <c r="I285" s="3" t="s">
        <v>1108</v>
      </c>
      <c r="J285" s="3"/>
      <c r="O285" s="3"/>
      <c r="Q285" s="1">
        <v>50</v>
      </c>
      <c r="R285" s="1">
        <v>50</v>
      </c>
      <c r="S285" s="4" t="str">
        <f t="shared" si="16"/>
        <v>False</v>
      </c>
      <c r="T285" s="4" t="str">
        <f>IFERROR(__xludf.DUMMYFUNCTION("CONCATENATE(if(REGEXMATCH(C285,""R""),"" Red"",""""),if(REGEXMATCH(C285,""O""),"" Orange"",""""),if(REGEXMATCH(C285,""Y""),"" Yellow"",""""),if(REGEXMATCH(C285,""G""),"" Green"",""""),if(REGEXMATCH(C285,""B""),"" Blue"",""""),if(REGEXMATCH(C285,""P""),"" "&amp;"Purple"",""""))")," Purple")</f>
        <v>Purple</v>
      </c>
      <c r="U285" s="4" t="str">
        <f>IFERROR(__xludf.DUMMYFUNCTION("TRIM(CONCAT(""[right]"", REGEXREPLACE(C285, ""([ROYGBPXZC_]|1?[0-9])"", ""[img=119]res://textures/icons/$0.png[/img]\\n"")))"),"[right][img=119]res://textures/icons/X.png[/img]\n[img=119]res://textures/icons/P.png[/img]\n[img=119]res://textures/icons/P.png[/img]\n")</f>
        <v>[right][img=119]res://textures/icons/X.png[/img]\n[img=119]res://textures/icons/P.png[/img]\n[img=119]res://textures/icons/P.png[/img]\n</v>
      </c>
      <c r="V285" s="4" t="str">
        <f>IFERROR(__xludf.DUMMYFUNCTION("SUBSTITUTE(SUBSTITUTE(SUBSTITUTE(SUBSTITUTE(REGEXREPLACE(SUBSTITUTE(SUBSTITUTE(SUBSTITUTE(SUBSTITUTE(REGEXREPLACE(I285, ""(\[([ROYGBPTQUXZC_]|1?[0-9])\])"", ""[img=45]res://textures/icons/$2.png[/img]""),""--"",""—""),""-&gt;"",""•""),""~@"", CONCATENATE(""["&amp;"i]"",REGEXEXTRACT(B285,""^([\s\S]*),|$""),""[/i]"")),""~"", CONCATENATE(""[i]"",B285,""[/i]"")),""(\([\s\S]*?\))"",""[i][color=#34343A]$0[/color][/i]""), ""&lt;"", ""[""), ""&gt;"", ""]""), ""[/p][p]"", ""[font_size=15]\n\n[/font_size]""), ""[br/]"", ""\n"")"),"[p][i]Abuse of the Tax Code[/i] costs [img=45]res://textures/icons/1.png[/img] less for every card on the stack.[font_size=15]\n\n[/font_size][u]Hack[/u] [i][color=#34343A](Send the specified cards on the stack to their owners' discards, none of their eff"&amp;"ects happen.)[/color][/i] every other card on the stack unless each card's controller pays [img=45]res://textures/icons/X.png[/img] for it.[/p]")</f>
        <v xml:space="preserve">[p][i]Abuse of the Tax Code[/i] costs [img=45]res://textures/icons/1.png[/img] less for every card on the stack.[font_size=15]\n\n[/font_size][u]Hack[/u] [i][color=#34343A](Send the specified cards on the stack to their owners' discards, none of their effects happen.)[/color][/i] every other card on the stack unless each card's controller pays [img=45]res://textures/icons/X.png[/img] for it.[/p]</v>
      </c>
      <c r="W285" s="4" t="str">
        <f t="shared" si="17"/>
        <v>[i]Effect[/i]</v>
      </c>
      <c r="X285" s="4" t="str">
        <f t="shared" si="18"/>
        <v>RT_PU_003</v>
      </c>
    </row>
    <row r="286" outlineLevel="1">
      <c r="A286" s="1" t="s">
        <v>1109</v>
      </c>
      <c r="B286" s="4" t="s">
        <v>1110</v>
      </c>
      <c r="C286" s="5" t="s">
        <v>1111</v>
      </c>
      <c r="D286" s="6" t="str">
        <f>IFERROR(__xludf.DUMMYFUNCTION("IF(ISBLANK(A286),"""",SWITCH(IF(T286="""",0,COUNTA(SPLIT(T286,"" ""))),0,""Generic"",1,TRIM(T286),2,""Multicolor"",3,""Multicolor"",4,""Multicolor"",5,""Multicolor"",6,""Multicolor"",7,""Multicolor"",8,""Multicolor""))"),"Purple")</f>
        <v>Purple</v>
      </c>
      <c r="E286" s="4" t="s">
        <v>79</v>
      </c>
      <c r="F286" s="4" t="s">
        <v>26</v>
      </c>
      <c r="G286" s="4" t="s">
        <v>245</v>
      </c>
      <c r="H286" s="5" t="s">
        <v>129</v>
      </c>
      <c r="I286" s="7" t="s">
        <v>1112</v>
      </c>
      <c r="J286" s="4"/>
      <c r="K286" s="8">
        <v>3</v>
      </c>
      <c r="L286" s="8">
        <v>3</v>
      </c>
      <c r="O286" s="3"/>
      <c r="Q286" s="1">
        <v>60</v>
      </c>
      <c r="R286" s="1">
        <v>40</v>
      </c>
      <c r="S286" s="4" t="str">
        <f t="shared" si="16"/>
        <v>True</v>
      </c>
      <c r="T286" s="4" t="str">
        <f>IFERROR(__xludf.DUMMYFUNCTION("CONCATENATE(if(REGEXMATCH(C286,""R""),"" Red"",""""),if(REGEXMATCH(C286,""O""),"" Orange"",""""),if(REGEXMATCH(C286,""Y""),"" Yellow"",""""),if(REGEXMATCH(C286,""G""),"" Green"",""""),if(REGEXMATCH(C286,""B""),"" Blue"",""""),if(REGEXMATCH(C286,""P""),"" "&amp;"Purple"",""""))")," Purple")</f>
        <v>Purple</v>
      </c>
      <c r="U286" s="4" t="str">
        <f>IFERROR(__xludf.DUMMYFUNCTION("TRIM(CONCAT(""[right]"", REGEXREPLACE(C286, ""([ROYGBPXZC_]|1?[0-9])"", ""[img=119]res://textures/icons/$0.png[/img]\\n"")))"),"[right][img=119]res://textures/icons/2.png[/img]\n[img=119]res://textures/icons/P.png[/img]\n")</f>
        <v>[right][img=119]res://textures/icons/2.png[/img]\n[img=119]res://textures/icons/P.png[/img]\n</v>
      </c>
      <c r="V286" s="4" t="str">
        <f>IFERROR(__xludf.DUMMYFUNCTION("SUBSTITUTE(SUBSTITUTE(SUBSTITUTE(SUBSTITUTE(REGEXREPLACE(SUBSTITUTE(SUBSTITUTE(SUBSTITUTE(SUBSTITUTE(REGEXREPLACE(I286, ""(\[([ROYGBPTQUXZC_]|1?[0-9])\])"", ""[img=45]res://textures/icons/$2.png[/img]""),""--"",""—""),""-&gt;"",""•""),""~@"", CONCATENATE(""["&amp;"i]"",REGEXEXTRACT(B286,""^([\s\S]*),|$""),""[/i]"")),""~"", CONCATENATE(""[i]"",B286,""[/i]"")),""(\([\s\S]*?\))"",""[i][color=#34343A]$0[/color][/i]""), ""&lt;"", ""[""), ""&gt;"", ""]""), ""[/p][p]"", ""[font_size=15]\n\n[/font_size]""), ""[br/]"", ""\n"")"),"[center][u]Firewall [img=45]res://textures/icons/2.png[/img][/u] [i][color=#34343A](Intelligence Intern can't be chosen unless the player choosing it pays [img=45]res://textures/icons/2.png[/img].)[/color][/i], [u]Quick Hire[/u] [i][color=#34343A](When [i"&amp;"]Intelligence Intern[/i] is hired as a generator, it can exhaust as soon as it is hired.)[/color][/i][/center][p][img=45]res://textures/icons/T.png[/img]: Add [img=45]res://textures/icons/P.png[/img].[font_size=15]\n\n[/font_size][img=45]res://textures/ic"&amp;"ons/2.png[/img][img=45]res://textures/icons/P.png[/img][img=45]res://textures/icons/P.png[/img], [img=45]res://textures/icons/T.png[/img]: Choose a player; they reveal the top 3 cards of their deck, then puts them back in any order.[/p]")</f>
        <v xml:space="preserve">[center][u]Firewall [img=45]res://textures/icons/2.png[/img][/u] [i][color=#34343A](Intelligence Intern can't be chosen unless the player choosing it pays [img=45]res://textures/icons/2.png[/img].)[/color][/i], [u]Quick Hire[/u] [i][color=#34343A](When [i]Intelligence Intern[/i] is hired as a generator, it can exhaust as soon as it is hired.)[/color][/i][/center][p][img=45]res://textures/icons/T.png[/img]: Add [img=45]res://textures/icons/P.png[/img].[font_size=15]\n\n[/font_size][img=45]res://textures/icons/2.png[/img][img=45]res://textures/icons/P.png[/img][img=45]res://textures/icons/P.png[/img], [img=45]res://textures/icons/T.png[/img]: Choose a player; they reveal the top 3 cards of their deck, then puts them back in any order.[/p]</v>
      </c>
      <c r="W286" s="4" t="str">
        <f t="shared" si="17"/>
        <v>[i]Asset[/i]</v>
      </c>
      <c r="X286" s="4" t="str">
        <f t="shared" si="18"/>
        <v>RT_PU_004</v>
      </c>
    </row>
    <row r="287" outlineLevel="1">
      <c r="A287" s="1" t="s">
        <v>1113</v>
      </c>
      <c r="B287" s="4" t="s">
        <v>1114</v>
      </c>
      <c r="C287" s="5" t="s">
        <v>1115</v>
      </c>
      <c r="D287" s="6" t="str">
        <f>IFERROR(__xludf.DUMMYFUNCTION("IF(ISBLANK(A287),"""",SWITCH(IF(T287="""",0,COUNTA(SPLIT(T287,"" ""))),0,""Generic"",1,TRIM(T287),2,""Multicolor"",3,""Multicolor"",4,""Multicolor"",5,""Multicolor"",6,""Multicolor"",7,""Multicolor"",8,""Multicolor""))"),"Purple")</f>
        <v>Purple</v>
      </c>
      <c r="E287" s="4"/>
      <c r="F287" s="4" t="s">
        <v>33</v>
      </c>
      <c r="G287" s="4"/>
      <c r="H287" s="5" t="s">
        <v>513</v>
      </c>
      <c r="I287" s="7" t="s">
        <v>1116</v>
      </c>
      <c r="J287" s="3"/>
      <c r="O287" s="3"/>
      <c r="Q287" s="1">
        <v>45</v>
      </c>
      <c r="R287" s="1">
        <v>50</v>
      </c>
      <c r="S287" s="4" t="str">
        <f t="shared" si="16"/>
        <v>False</v>
      </c>
      <c r="T287" s="4" t="str">
        <f>IFERROR(__xludf.DUMMYFUNCTION("CONCATENATE(if(REGEXMATCH(C287,""R""),"" Red"",""""),if(REGEXMATCH(C287,""O""),"" Orange"",""""),if(REGEXMATCH(C287,""Y""),"" Yellow"",""""),if(REGEXMATCH(C287,""G""),"" Green"",""""),if(REGEXMATCH(C287,""B""),"" Blue"",""""),if(REGEXMATCH(C287,""P""),"" "&amp;"Purple"",""""))")," Purple")</f>
        <v>Purple</v>
      </c>
      <c r="U287" s="4" t="str">
        <f>IFERROR(__xludf.DUMMYFUNCTION("TRIM(CONCAT(""[right]"", REGEXREPLACE(C287, ""([ROYGBPXZC_]|1?[0-9])"", ""[img=119]res://textures/icons/$0.png[/img]\\n"")))"),"[right][img=119]res://textures/icons/2.png[/img]\n[img=119]res://textures/icons/P.png[/img]\n[img=119]res://textures/icons/P.png[/img]\n")</f>
        <v>[right][img=119]res://textures/icons/2.png[/img]\n[img=119]res://textures/icons/P.png[/img]\n[img=119]res://textures/icons/P.png[/img]\n</v>
      </c>
      <c r="V287" s="4" t="str">
        <f>IFERROR(__xludf.DUMMYFUNCTION("SUBSTITUTE(SUBSTITUTE(SUBSTITUTE(SUBSTITUTE(REGEXREPLACE(SUBSTITUTE(SUBSTITUTE(SUBSTITUTE(SUBSTITUTE(REGEXREPLACE(I287, ""(\[([ROYGBPTQUXZC_]|1?[0-9])\])"", ""[img=45]res://textures/icons/$2.png[/img]""),""--"",""—""),""-&gt;"",""•""),""~@"", CONCATENATE(""["&amp;"i]"",REGEXEXTRACT(B287,""^([\s\S]*),|$""),""[/i]"")),""~"", CONCATENATE(""[i]"",B287,""[/i]"")),""(\([\s\S]*?\))"",""[i][color=#34343A]$0[/color][/i]""), ""&lt;"", ""[""), ""&gt;"", ""]""), ""[/p][p]"", ""[font_size=15]\n\n[/font_size]""), ""[br/]"", ""\n"")"),"[p]Choose a player; they reveal their hand.[font_size=15]\n\n[/font_size]You may discard any number of cards in your hand, then draw that many cards.[/p]")</f>
        <v xml:space="preserve">[p]Choose a player; they reveal their hand.[font_size=15]\n\n[/font_size]You may discard any number of cards in your hand, then draw that many cards.[/p]</v>
      </c>
      <c r="W287" s="4" t="str">
        <f t="shared" si="17"/>
        <v>[i]Effect[/i]</v>
      </c>
      <c r="X287" s="4" t="str">
        <f t="shared" si="18"/>
        <v>RT_PU_005</v>
      </c>
    </row>
    <row r="288" outlineLevel="1">
      <c r="A288" s="1" t="s">
        <v>1117</v>
      </c>
      <c r="B288" s="4" t="s">
        <v>1118</v>
      </c>
      <c r="C288" s="5" t="s">
        <v>1084</v>
      </c>
      <c r="D288" s="6" t="str">
        <f>IFERROR(__xludf.DUMMYFUNCTION("IF(ISBLANK(A288),"""",SWITCH(IF(T288="""",0,COUNTA(SPLIT(T288,"" ""))),0,""Generic"",1,TRIM(T288),2,""Multicolor"",3,""Multicolor"",4,""Multicolor"",5,""Multicolor"",6,""Multicolor"",7,""Multicolor"",8,""Multicolor""))"),"Purple")</f>
        <v>Purple</v>
      </c>
      <c r="E288" s="4"/>
      <c r="F288" s="4" t="s">
        <v>33</v>
      </c>
      <c r="G288" s="4" t="s">
        <v>118</v>
      </c>
      <c r="H288" s="5" t="s">
        <v>129</v>
      </c>
      <c r="I288" s="7" t="s">
        <v>1119</v>
      </c>
      <c r="J288" s="7" t="s">
        <v>1120</v>
      </c>
      <c r="O288" s="3"/>
      <c r="Q288" s="1">
        <v>60</v>
      </c>
      <c r="R288" s="1">
        <v>50</v>
      </c>
      <c r="S288" s="4" t="str">
        <f t="shared" si="16"/>
        <v>False</v>
      </c>
      <c r="T288" s="4" t="str">
        <f>IFERROR(__xludf.DUMMYFUNCTION("CONCATENATE(if(REGEXMATCH(C288,""R""),"" Red"",""""),if(REGEXMATCH(C288,""O""),"" Orange"",""""),if(REGEXMATCH(C288,""Y""),"" Yellow"",""""),if(REGEXMATCH(C288,""G""),"" Green"",""""),if(REGEXMATCH(C288,""B""),"" Blue"",""""),if(REGEXMATCH(C288,""P""),"" "&amp;"Purple"",""""))")," Purple")</f>
        <v>Purple</v>
      </c>
      <c r="U288" s="4" t="str">
        <f>IFERROR(__xludf.DUMMYFUNCTION("TRIM(CONCAT(""[right]"", REGEXREPLACE(C288, ""([ROYGBPXZC_]|1?[0-9])"", ""[img=119]res://textures/icons/$0.png[/img]\\n"")))"),"[right][img=119]res://textures/icons/1.png[/img]\n[img=119]res://textures/icons/P.png[/img]\n[img=119]res://textures/icons/P.png[/img]\n")</f>
        <v>[right][img=119]res://textures/icons/1.png[/img]\n[img=119]res://textures/icons/P.png[/img]\n[img=119]res://textures/icons/P.png[/img]\n</v>
      </c>
      <c r="V288" s="4" t="str">
        <f>IFERROR(__xludf.DUMMYFUNCTION("SUBSTITUTE(SUBSTITUTE(SUBSTITUTE(SUBSTITUTE(REGEXREPLACE(SUBSTITUTE(SUBSTITUTE(SUBSTITUTE(SUBSTITUTE(REGEXREPLACE(I288, ""(\[([ROYGBPTQUXZC_]|1?[0-9])\])"", ""[img=45]res://textures/icons/$2.png[/img]""),""--"",""—""),""-&gt;"",""•""),""~@"", CONCATENATE(""["&amp;"i]"",REGEXEXTRACT(B288,""^([\s\S]*),|$""),""[/i]"")),""~"", CONCATENATE(""[i]"",B288,""[/i]"")),""(\([\s\S]*?\))"",""[i][color=#34343A]$0[/color][/i]""), ""&lt;"", ""[""), ""&gt;"", ""]""), ""[/p][p]"", ""[font_size=15]\n\n[/font_size]""), ""[br/]"", ""\n"")"),"[center]Chose an effect on the stack; deploy a copy of that effect without paying its mana cost.[/center]")</f>
        <v xml:space="preserve">[center]Chose an effect on the stack; deploy a copy of that effect without paying its mana cost.[/center]</v>
      </c>
      <c r="W288" s="4" t="str">
        <f t="shared" si="17"/>
        <v>[i]Effect[/i]</v>
      </c>
      <c r="X288" s="4" t="str">
        <f t="shared" si="18"/>
        <v>RT_PU_006</v>
      </c>
    </row>
    <row r="289" outlineLevel="1">
      <c r="A289" s="1" t="s">
        <v>1121</v>
      </c>
      <c r="B289" s="1" t="s">
        <v>1122</v>
      </c>
      <c r="C289" s="2" t="s">
        <v>1080</v>
      </c>
      <c r="D289" s="6" t="str">
        <f>IFERROR(__xludf.DUMMYFUNCTION("IF(EQ(A289,B289),"""",SWITCH(IF(T289="""",0,COUNTA(SPLIT(T289,"" ""))),0,""Generic"",1,TRIM(T289),2,""Multicolor"",3,""Multicolor"",4,""Multicolor"",5,""Multicolor"",6,""Multicolor"",7,""Multicolor"",8,""Multicolor""))"),"Purple")</f>
        <v>Purple</v>
      </c>
      <c r="E289" s="1"/>
      <c r="F289" s="1" t="s">
        <v>33</v>
      </c>
      <c r="G289" s="1" t="s">
        <v>118</v>
      </c>
      <c r="H289" s="2" t="s">
        <v>129</v>
      </c>
      <c r="I289" s="7" t="s">
        <v>1123</v>
      </c>
      <c r="J289" s="3"/>
      <c r="O289" s="3"/>
      <c r="Q289" s="1">
        <v>45</v>
      </c>
      <c r="R289" s="1">
        <v>50</v>
      </c>
      <c r="S289" s="4" t="str">
        <f t="shared" si="16"/>
        <v>False</v>
      </c>
      <c r="T289" s="4" t="str">
        <f>IFERROR(__xludf.DUMMYFUNCTION("CONCATENATE(if(REGEXMATCH(C289,""R""),"" Red"",""""),if(REGEXMATCH(C289,""O""),"" Orange"",""""),if(REGEXMATCH(C289,""Y""),"" Yellow"",""""),if(REGEXMATCH(C289,""G""),"" Green"",""""),if(REGEXMATCH(C289,""B""),"" Blue"",""""),if(REGEXMATCH(C289,""P""),"" "&amp;"Purple"",""""))")," Purple")</f>
        <v>Purple</v>
      </c>
      <c r="U289" s="4" t="str">
        <f>IFERROR(__xludf.DUMMYFUNCTION("TRIM(CONCAT(""[right]"", REGEXREPLACE(C289, ""([ROYGBPXZC_]|1?[0-9])"", ""[img=119]res://textures/icons/$0.png[/img]\\n"")))"),"[right][img=119]res://textures/icons/P.png[/img]\n[img=119]res://textures/icons/P.png[/img]\n")</f>
        <v>[right][img=119]res://textures/icons/P.png[/img]\n[img=119]res://textures/icons/P.png[/img]\n</v>
      </c>
      <c r="V289" s="4" t="str">
        <f>IFERROR(__xludf.DUMMYFUNCTION("SUBSTITUTE(SUBSTITUTE(SUBSTITUTE(SUBSTITUTE(REGEXREPLACE(SUBSTITUTE(SUBSTITUTE(SUBSTITUTE(SUBSTITUTE(REGEXREPLACE(I289, ""(\[([ROYGBPTQUXZC_]|1?[0-9])\])"", ""[img=45]res://textures/icons/$2.png[/img]""),""--"",""—""),""-&gt;"",""•""),""~@"", CONCATENATE(""["&amp;"i]"",REGEXEXTRACT(B289,""^([\s\S]*),|$""),""[/i]"")),""~"", CONCATENATE(""[i]"",B289,""[/i]"")),""(\([\s\S]*?\))"",""[i][color=#34343A]$0[/color][/i]""), ""&lt;"", ""[""), ""&gt;"", ""]""), ""[/p][p]"", ""[font_size=15]\n\n[/font_size]""), ""[br/]"", ""\n"")"),"[p]Until end of turn, whenever you take damage you draw an additional card.[font_size=15]\n\n[/font_size]You don't discard to your maximum hand size at the end of this turn.[/p]")</f>
        <v xml:space="preserve">[p]Until end of turn, whenever you take damage you draw an additional card.[font_size=15]\n\n[/font_size]You don't discard to your maximum hand size at the end of this turn.[/p]</v>
      </c>
      <c r="W289" s="4" t="str">
        <f t="shared" si="17"/>
        <v>[i]Effect[/i]</v>
      </c>
      <c r="X289" s="4" t="str">
        <f t="shared" si="18"/>
        <v>RT_PU_007</v>
      </c>
    </row>
    <row r="290" outlineLevel="1">
      <c r="A290" s="1" t="s">
        <v>1124</v>
      </c>
      <c r="B290" s="1" t="s">
        <v>1125</v>
      </c>
      <c r="C290" s="2" t="s">
        <v>1115</v>
      </c>
      <c r="D290" s="6" t="str">
        <f>IFERROR(__xludf.DUMMYFUNCTION("IF(EQ(A290,B290),"""",SWITCH(IF(T290="""",0,COUNTA(SPLIT(T290,"" ""))),0,""Generic"",1,TRIM(T290),2,""Multicolor"",3,""Multicolor"",4,""Multicolor"",5,""Multicolor"",6,""Multicolor"",7,""Multicolor"",8,""Multicolor""))"),"Purple")</f>
        <v>Purple</v>
      </c>
      <c r="E290" s="1" t="s">
        <v>51</v>
      </c>
      <c r="F290" s="1" t="s">
        <v>26</v>
      </c>
      <c r="G290" s="1" t="s">
        <v>1126</v>
      </c>
      <c r="H290" s="2" t="s">
        <v>129</v>
      </c>
      <c r="I290" s="3" t="s">
        <v>1127</v>
      </c>
      <c r="J290" s="3" t="s">
        <v>1128</v>
      </c>
      <c r="K290" s="1">
        <v>5</v>
      </c>
      <c r="L290" s="1">
        <v>5</v>
      </c>
      <c r="O290" s="3"/>
      <c r="Q290" s="1">
        <v>60</v>
      </c>
      <c r="R290" s="1">
        <v>50</v>
      </c>
      <c r="S290" s="4" t="str">
        <f t="shared" si="16"/>
        <v>True</v>
      </c>
      <c r="T290" s="4" t="str">
        <f>IFERROR(__xludf.DUMMYFUNCTION("CONCATENATE(if(REGEXMATCH(C290,""R""),"" Red"",""""),if(REGEXMATCH(C290,""O""),"" Orange"",""""),if(REGEXMATCH(C290,""Y""),"" Yellow"",""""),if(REGEXMATCH(C290,""G""),"" Green"",""""),if(REGEXMATCH(C290,""B""),"" Blue"",""""),if(REGEXMATCH(C290,""P""),"" "&amp;"Purple"",""""))")," Purple")</f>
        <v>Purple</v>
      </c>
      <c r="U290" s="4" t="str">
        <f>IFERROR(__xludf.DUMMYFUNCTION("TRIM(CONCAT(""[right]"", REGEXREPLACE(C290, ""([ROYGBPXZC_]|1?[0-9])"", ""[img=119]res://textures/icons/$0.png[/img]\\n"")))"),"[right][img=119]res://textures/icons/2.png[/img]\n[img=119]res://textures/icons/P.png[/img]\n[img=119]res://textures/icons/P.png[/img]\n")</f>
        <v>[right][img=119]res://textures/icons/2.png[/img]\n[img=119]res://textures/icons/P.png[/img]\n[img=119]res://textures/icons/P.png[/img]\n</v>
      </c>
      <c r="V290" s="4" t="str">
        <f>IFERROR(__xludf.DUMMYFUNCTION("SUBSTITUTE(SUBSTITUTE(SUBSTITUTE(SUBSTITUTE(REGEXREPLACE(SUBSTITUTE(SUBSTITUTE(SUBSTITUTE(SUBSTITUTE(REGEXREPLACE(I290, ""(\[([ROYGBPTQUXZC_]|1?[0-9])\])"", ""[img=45]res://textures/icons/$2.png[/img]""),""--"",""—""),""-&gt;"",""•""),""~@"", CONCATENATE(""["&amp;"i]"",REGEXEXTRACT(B290,""^([\s\S]*),|$""),""[/i]"")),""~"", CONCATENATE(""[i]"",B290,""[/i]"")),""(\([\s\S]*?\))"",""[i][color=#34343A]$0[/color][/i]""), ""&lt;"", ""[""), ""&gt;"", ""]""), ""[/p][p]"", ""[font_size=15]\n\n[/font_size]""), ""[br/]"", ""\n"")"),"[center][u]Retribution[/u] [i][color=#34343A](When you draw [i]Agent of Chaos[/i] as a result of taking damage, you may deploy it without paying its cost.)[/color][/i][/center][p]Whenever [i]Agent of Chaos[/i] deals combat damage to an opponent's commande"&amp;"r, each player shuffles their hand into their deck, then draws the same number of cards.[/p]")</f>
        <v xml:space="preserve">[center][u]Retribution[/u] [i][color=#34343A](When you draw [i]Agent of Chaos[/i] as a result of taking damage, you may deploy it without paying its cost.)[/color][/i][/center][p]Whenever [i]Agent of Chaos[/i] deals combat damage to an opponent's commander, each player shuffles their hand into their deck, then draws the same number of cards.[/p]</v>
      </c>
      <c r="W290" s="4" t="str">
        <f t="shared" si="17"/>
        <v>[i]Asset[/i]</v>
      </c>
      <c r="X290" s="4" t="str">
        <f t="shared" si="18"/>
        <v>RT_PU_008</v>
      </c>
    </row>
    <row r="291" outlineLevel="1">
      <c r="A291" s="4" t="s">
        <v>1129</v>
      </c>
      <c r="B291" s="4" t="s">
        <v>1130</v>
      </c>
      <c r="C291" s="5" t="s">
        <v>1103</v>
      </c>
      <c r="D291" s="6" t="str">
        <f>IFERROR(__xludf.DUMMYFUNCTION("IF(EQ(A291,B291),"""",SWITCH(IF(T291="""",0,COUNTA(SPLIT(T291,"" ""))),0,""Generic"",1,TRIM(T291),2,""Multicolor"",3,""Multicolor"",4,""Multicolor"",5,""Multicolor"",6,""Multicolor"",7,""Multicolor"",8,""Multicolor""))"),"Purple")</f>
        <v>Purple</v>
      </c>
      <c r="E291" s="4"/>
      <c r="F291" s="4" t="s">
        <v>33</v>
      </c>
      <c r="G291" s="4" t="s">
        <v>118</v>
      </c>
      <c r="H291" s="5" t="s">
        <v>129</v>
      </c>
      <c r="I291" s="3" t="s">
        <v>1131</v>
      </c>
      <c r="J291" s="4"/>
      <c r="K291" s="4" t="s">
        <v>29</v>
      </c>
      <c r="L291" s="4" t="s">
        <v>29</v>
      </c>
      <c r="M291" s="4"/>
      <c r="N291" s="4"/>
      <c r="O291" s="4"/>
      <c r="P291" s="4"/>
      <c r="Q291" s="8">
        <v>60</v>
      </c>
      <c r="R291" s="8">
        <v>50</v>
      </c>
      <c r="S291" s="4" t="str">
        <f t="shared" si="16"/>
        <v>False</v>
      </c>
      <c r="T291" s="4" t="str">
        <f>IFERROR(__xludf.DUMMYFUNCTION("CONCATENATE(if(REGEXMATCH(C291,""R""),"" Red"",""""),if(REGEXMATCH(C291,""O""),"" Orange"",""""),if(REGEXMATCH(C291,""Y""),"" Yellow"",""""),if(REGEXMATCH(C291,""G""),"" Green"",""""),if(REGEXMATCH(C291,""B""),"" Blue"",""""),if(REGEXMATCH(C291,""P""),"" "&amp;"Purple"",""""))")," Purple")</f>
        <v>Purple</v>
      </c>
      <c r="U291" s="4" t="str">
        <f>IFERROR(__xludf.DUMMYFUNCTION("TRIM(CONCAT(""[right]"", REGEXREPLACE(C291, ""([ROYGBPXZC_]|1?[0-9])"", ""[img=119]res://textures/icons/$0.png[/img]\\n"")))"),"[right][img=119]res://textures/icons/P.png[/img]\n")</f>
        <v>[right][img=119]res://textures/icons/P.png[/img]\n</v>
      </c>
      <c r="V291" s="4" t="str">
        <f>IFERROR(__xludf.DUMMYFUNCTION("SUBSTITUTE(SUBSTITUTE(SUBSTITUTE(SUBSTITUTE(REGEXREPLACE(SUBSTITUTE(SUBSTITUTE(SUBSTITUTE(SUBSTITUTE(REGEXREPLACE(I291, ""(\[([ROYGBPTQUXZC_]|1?[0-9])\])"", ""[img=45]res://textures/icons/$2.png[/img]""),""--"",""—""),""-&gt;"",""•""),""~@"", CONCATENATE(""["&amp;"i]"",REGEXEXTRACT(B291,""^([\s\S]*),|$""),""[/i]"")),""~"", CONCATENATE(""[i]"",B291,""[/i]"")),""(\([\s\S]*?\))"",""[i][color=#34343A]$0[/color][/i]""), ""&lt;"", ""[""), ""&gt;"", ""]""), ""[/p][p]"", ""[font_size=15]\n\n[/font_size]""), ""[br/]"", ""\n"")"),"Look at the top 3 cards of your deck, draw 1 of them, then put the rest back on top in any order.[p]You may pay an additional [img=45]res://textures/icons/2.png[/img][img=45]res://textures/icons/P.png[/img] as you deploy [i]Plan[/i], if you do choose an a"&amp;"sset; return it to its owner's hand, then it loses all [u]stat modifications[/u] [i][color=#34343A](Added/changed words, attack power, health, or ranged status.)[/color][/i][/p]")</f>
        <v xml:space="preserve">Look at the top 3 cards of your deck, draw 1 of them, then put the rest back on top in any order.[p]You may pay an additional [img=45]res://textures/icons/2.png[/img][img=45]res://textures/icons/P.png[/img] as you deploy [i]Plan[/i], if you do choose an asset; return it to its owner's hand, then it loses all [u]stat modifications[/u] [i][color=#34343A](Added/changed words, attack power, health, or ranged status.)[/color][/i][/p]</v>
      </c>
      <c r="W291" s="4" t="str">
        <f t="shared" si="17"/>
        <v>[i]Effect[/i]</v>
      </c>
      <c r="X291" s="4" t="str">
        <f t="shared" si="18"/>
        <v>RT_PC_001</v>
      </c>
    </row>
    <row r="292" outlineLevel="1">
      <c r="A292" s="1" t="s">
        <v>1132</v>
      </c>
      <c r="B292" s="1" t="s">
        <v>1133</v>
      </c>
      <c r="C292" s="2" t="s">
        <v>1134</v>
      </c>
      <c r="D292" s="6" t="str">
        <f>IFERROR(__xludf.DUMMYFUNCTION("IF(EQ(A292,B292),"""",SWITCH(IF(T292="""",0,COUNTA(SPLIT(T292,"" ""))),0,""Generic"",1,TRIM(T292),2,""Multicolor"",3,""Multicolor"",4,""Multicolor"",5,""Multicolor"",6,""Multicolor"",7,""Multicolor"",8,""Multicolor""))"),"Purple")</f>
        <v>Purple</v>
      </c>
      <c r="E292" s="1" t="s">
        <v>51</v>
      </c>
      <c r="F292" s="1" t="s">
        <v>26</v>
      </c>
      <c r="G292" s="1" t="s">
        <v>1135</v>
      </c>
      <c r="H292" s="2" t="s">
        <v>50</v>
      </c>
      <c r="I292" s="7"/>
      <c r="J292" s="3"/>
      <c r="K292" s="1">
        <v>3</v>
      </c>
      <c r="L292" s="1">
        <v>5</v>
      </c>
      <c r="O292" s="3"/>
      <c r="Q292" s="1">
        <v>60</v>
      </c>
      <c r="R292" s="1">
        <v>50</v>
      </c>
      <c r="S292" s="4" t="str">
        <f t="shared" si="16"/>
        <v>True</v>
      </c>
      <c r="T292" s="4" t="str">
        <f>IFERROR(__xludf.DUMMYFUNCTION("CONCATENATE(if(REGEXMATCH(C292,""R""),"" Red"",""""),if(REGEXMATCH(C292,""O""),"" Orange"",""""),if(REGEXMATCH(C292,""Y""),"" Yellow"",""""),if(REGEXMATCH(C292,""G""),"" Green"",""""),if(REGEXMATCH(C292,""B""),"" Blue"",""""),if(REGEXMATCH(C292,""P""),"" "&amp;"Purple"",""""))")," Purple")</f>
        <v>Purple</v>
      </c>
      <c r="U292" s="4" t="str">
        <f>IFERROR(__xludf.DUMMYFUNCTION("TRIM(CONCAT(""[right]"", REGEXREPLACE(C292, ""([ROYGBPXZC_]|1?[0-9])"", ""[img=119]res://textures/icons/$0.png[/img]\\n"")))"),"[right][img=119]res://textures/icons/1.png[/img]\n[img=119]res://textures/icons/P.png[/img]\n")</f>
        <v>[right][img=119]res://textures/icons/1.png[/img]\n[img=119]res://textures/icons/P.png[/img]\n</v>
      </c>
      <c r="V292" s="4" t="str">
        <f>IFERROR(__xludf.DUMMYFUNCTION("SUBSTITUTE(SUBSTITUTE(SUBSTITUTE(SUBSTITUTE(REGEXREPLACE(SUBSTITUTE(SUBSTITUTE(SUBSTITUTE(SUBSTITUTE(REGEXREPLACE(I292, ""(\[([ROYGBPTQUXZC_]|1?[0-9])\])"", ""[img=45]res://textures/icons/$2.png[/img]""),""--"",""—""),""-&gt;"",""•""),""~@"", CONCATENATE(""["&amp;"i]"",REGEXEXTRACT(B292,""^([\s\S]*),|$""),""[/i]"")),""~"", CONCATENATE(""[i]"",B292,""[/i]"")),""(\([\s\S]*?\))"",""[i][color=#34343A]$0[/color][/i]""), ""&lt;"", ""[""), ""&gt;"", ""]""), ""[/p][p]"", ""[font_size=15]\n\n[/font_size]""), ""[br/]"", ""\n"")"),"")</f>
        <v/>
      </c>
      <c r="W292" s="4" t="str">
        <f t="shared" si="17"/>
        <v>[i]Asset[/i]</v>
      </c>
      <c r="X292" s="4" t="str">
        <f t="shared" si="18"/>
        <v>RT_PC_002</v>
      </c>
    </row>
    <row r="293" outlineLevel="1">
      <c r="A293" s="1" t="s">
        <v>1136</v>
      </c>
      <c r="B293" s="4" t="s">
        <v>1137</v>
      </c>
      <c r="C293" s="5" t="s">
        <v>1134</v>
      </c>
      <c r="D293" s="6" t="str">
        <f>IFERROR(__xludf.DUMMYFUNCTION("IF(ISBLANK(A293),"""",SWITCH(IF(T293="""",0,COUNTA(SPLIT(T293,"" ""))),0,""Generic"",1,TRIM(T293),2,""Multicolor"",3,""Multicolor"",4,""Multicolor"",5,""Multicolor"",6,""Multicolor"",7,""Multicolor"",8,""Multicolor""))"),"Purple")</f>
        <v>Purple</v>
      </c>
      <c r="E293" s="4"/>
      <c r="F293" s="4" t="s">
        <v>33</v>
      </c>
      <c r="G293" s="4" t="s">
        <v>1138</v>
      </c>
      <c r="H293" s="5" t="s">
        <v>44</v>
      </c>
      <c r="I293" s="3" t="s">
        <v>1139</v>
      </c>
      <c r="J293" s="7" t="s">
        <v>1140</v>
      </c>
      <c r="O293" s="3"/>
      <c r="Q293" s="1">
        <v>60</v>
      </c>
      <c r="R293" s="1">
        <v>50</v>
      </c>
      <c r="S293" s="4" t="str">
        <f t="shared" si="16"/>
        <v>False</v>
      </c>
      <c r="T293" s="4" t="str">
        <f>IFERROR(__xludf.DUMMYFUNCTION("CONCATENATE(if(REGEXMATCH(C293,""R""),"" Red"",""""),if(REGEXMATCH(C293,""O""),"" Orange"",""""),if(REGEXMATCH(C293,""Y""),"" Yellow"",""""),if(REGEXMATCH(C293,""G""),"" Green"",""""),if(REGEXMATCH(C293,""B""),"" Blue"",""""),if(REGEXMATCH(C293,""P""),"" "&amp;"Purple"",""""))")," Purple")</f>
        <v>Purple</v>
      </c>
      <c r="U293" s="4" t="str">
        <f>IFERROR(__xludf.DUMMYFUNCTION("TRIM(CONCAT(""[right]"", REGEXREPLACE(C293, ""([ROYGBPXZC_]|1?[0-9])"", ""[img=119]res://textures/icons/$0.png[/img]\\n"")))"),"[right][img=119]res://textures/icons/1.png[/img]\n[img=119]res://textures/icons/P.png[/img]\n")</f>
        <v>[right][img=119]res://textures/icons/1.png[/img]\n[img=119]res://textures/icons/P.png[/img]\n</v>
      </c>
      <c r="V293" s="4" t="str">
        <f>IFERROR(__xludf.DUMMYFUNCTION("SUBSTITUTE(SUBSTITUTE(SUBSTITUTE(SUBSTITUTE(REGEXREPLACE(SUBSTITUTE(SUBSTITUTE(SUBSTITUTE(SUBSTITUTE(REGEXREPLACE(I293, ""(\[([ROYGBPTQUXZC_]|1?[0-9])\])"", ""[img=45]res://textures/icons/$2.png[/img]""),""--"",""—""),""-&gt;"",""•""),""~@"", CONCATENATE(""["&amp;"i]"",REGEXEXTRACT(B293,""^([\s\S]*),|$""),""[/i]"")),""~"", CONCATENATE(""[i]"",B293,""[/i]"")),""(\([\s\S]*?\))"",""[i][color=#34343A]$0[/color][/i]""), ""&lt;"", ""[""), ""&gt;"", ""]""), ""[/p][p]"", ""[font_size=15]\n\n[/font_size]""), ""[br/]"", ""\n"")"),"[p]Choose an opponent; they reveal 3 unrevealed cards in their hand [i][color=#34343A](if there are 3 or less unrevealed cards in their hand they reveal their hand instead.)[/color][/i][font_size=15]\n\n[/font_size]That opponent's maximum hand size is red"&amp;"uced by 1 until the start of your next turn.[/p]")</f>
        <v xml:space="preserve">[p]Choose an opponent; they reveal 3 unrevealed cards in their hand [i][color=#34343A](if there are 3 or less unrevealed cards in their hand they reveal their hand instead.)[/color][/i][font_size=15]\n\n[/font_size]That opponent's maximum hand size is reduced by 1 until the start of your next turn.[/p]</v>
      </c>
      <c r="W293" s="4" t="str">
        <f t="shared" si="17"/>
        <v>[i]Effect[/i]</v>
      </c>
      <c r="X293" s="4" t="str">
        <f t="shared" si="18"/>
        <v>RT_PC_003</v>
      </c>
    </row>
    <row r="294" outlineLevel="1">
      <c r="A294" s="1" t="s">
        <v>1141</v>
      </c>
      <c r="B294" s="4" t="s">
        <v>1142</v>
      </c>
      <c r="C294" s="5" t="s">
        <v>1111</v>
      </c>
      <c r="D294" s="6" t="str">
        <f>IFERROR(__xludf.DUMMYFUNCTION("IF(ISBLANK(A294),"""",SWITCH(IF(T294="""",0,COUNTA(SPLIT(T294,"" ""))),0,""Generic"",1,TRIM(T294),2,""Multicolor"",3,""Multicolor"",4,""Multicolor"",5,""Multicolor"",6,""Multicolor"",7,""Multicolor"",8,""Multicolor""))"),"Purple")</f>
        <v>Purple</v>
      </c>
      <c r="E294" s="4"/>
      <c r="F294" s="4" t="s">
        <v>26</v>
      </c>
      <c r="G294" s="4" t="s">
        <v>1143</v>
      </c>
      <c r="H294" s="5" t="s">
        <v>44</v>
      </c>
      <c r="I294" s="7" t="s">
        <v>1144</v>
      </c>
      <c r="J294" s="3"/>
      <c r="O294" s="3"/>
      <c r="Q294" s="1">
        <v>60</v>
      </c>
      <c r="R294" s="1">
        <v>50</v>
      </c>
      <c r="S294" s="4" t="str">
        <f t="shared" si="16"/>
        <v>False</v>
      </c>
      <c r="T294" s="4" t="str">
        <f>IFERROR(__xludf.DUMMYFUNCTION("CONCATENATE(if(REGEXMATCH(C294,""R""),"" Red"",""""),if(REGEXMATCH(C294,""O""),"" Orange"",""""),if(REGEXMATCH(C294,""Y""),"" Yellow"",""""),if(REGEXMATCH(C294,""G""),"" Green"",""""),if(REGEXMATCH(C294,""B""),"" Blue"",""""),if(REGEXMATCH(C294,""P""),"" "&amp;"Purple"",""""))")," Purple")</f>
        <v>Purple</v>
      </c>
      <c r="U294" s="4" t="str">
        <f>IFERROR(__xludf.DUMMYFUNCTION("TRIM(CONCAT(""[right]"", REGEXREPLACE(C294, ""([ROYGBPXZC_]|1?[0-9])"", ""[img=119]res://textures/icons/$0.png[/img]\\n"")))"),"[right][img=119]res://textures/icons/2.png[/img]\n[img=119]res://textures/icons/P.png[/img]\n")</f>
        <v>[right][img=119]res://textures/icons/2.png[/img]\n[img=119]res://textures/icons/P.png[/img]\n</v>
      </c>
      <c r="V294" s="4" t="str">
        <f>IFERROR(__xludf.DUMMYFUNCTION("SUBSTITUTE(SUBSTITUTE(SUBSTITUTE(SUBSTITUTE(REGEXREPLACE(SUBSTITUTE(SUBSTITUTE(SUBSTITUTE(SUBSTITUTE(REGEXREPLACE(I294, ""(\[([ROYGBPTQUXZC_]|1?[0-9])\])"", ""[img=45]res://textures/icons/$2.png[/img]""),""--"",""—""),""-&gt;"",""•""),""~@"", CONCATENATE(""["&amp;"i]"",REGEXEXTRACT(B294,""^([\s\S]*),|$""),""[/i]"")),""~"", CONCATENATE(""[i]"",B294,""[/i]"")),""(\([\s\S]*?\))"",""[i][color=#34343A]$0[/color][/i]""), ""&lt;"", ""[""), ""&gt;"", ""]""), ""[/p][p]"", ""[font_size=15]\n\n[/font_size]""), ""[br/]"", ""\n"")"),"[u]Forfeit[/u] [i][color=#34343A](Put the specified card into its owner's discard.)[/color][/i] [i]Paralyzer[/i]: Choose a combatant; return it to its owner's hand, then it loses all [u]stat modifications[/u] [i][color=#34343A](Added/changed words, attack"&amp;" power, health, or ranged status.)[/color][/i]")</f>
        <v xml:space="preserve">[u]Forfeit[/u] [i][color=#34343A](Put the specified card into its owner's discard.)[/color][/i] [i]Paralyzer[/i]: Choose a combatant; return it to its owner's hand, then it loses all [u]stat modifications[/u] [i][color=#34343A](Added/changed words, attack power, health, or ranged status.)[/color][/i]</v>
      </c>
      <c r="W294" s="4" t="str">
        <f t="shared" si="17"/>
        <v>[i]Asset[/i]</v>
      </c>
      <c r="X294" s="4" t="str">
        <f t="shared" si="18"/>
        <v>RT_PC_004</v>
      </c>
    </row>
    <row r="295" outlineLevel="1">
      <c r="A295" s="1" t="s">
        <v>1145</v>
      </c>
      <c r="B295" s="4" t="s">
        <v>1146</v>
      </c>
      <c r="C295" s="5" t="s">
        <v>1103</v>
      </c>
      <c r="D295" s="6" t="str">
        <f>IFERROR(__xludf.DUMMYFUNCTION("IF(ISBLANK(A295),"""",SWITCH(IF(T295="""",0,COUNTA(SPLIT(T295,"" ""))),0,""Generic"",1,TRIM(T295),2,""Multicolor"",3,""Multicolor"",4,""Multicolor"",5,""Multicolor"",6,""Multicolor"",7,""Multicolor"",8,""Multicolor""))"),"Purple")</f>
        <v>Purple</v>
      </c>
      <c r="E295" s="4"/>
      <c r="F295" s="4" t="s">
        <v>33</v>
      </c>
      <c r="G295" s="4"/>
      <c r="H295" s="5" t="s">
        <v>50</v>
      </c>
      <c r="I295" s="7" t="s">
        <v>1147</v>
      </c>
      <c r="J295" s="7" t="s">
        <v>1148</v>
      </c>
      <c r="O295" s="3"/>
      <c r="Q295" s="1">
        <v>60</v>
      </c>
      <c r="R295" s="1">
        <v>50</v>
      </c>
      <c r="S295" s="4" t="str">
        <f t="shared" si="16"/>
        <v>False</v>
      </c>
      <c r="T295" s="4" t="str">
        <f>IFERROR(__xludf.DUMMYFUNCTION("CONCATENATE(if(REGEXMATCH(C295,""R""),"" Red"",""""),if(REGEXMATCH(C295,""O""),"" Orange"",""""),if(REGEXMATCH(C295,""Y""),"" Yellow"",""""),if(REGEXMATCH(C295,""G""),"" Green"",""""),if(REGEXMATCH(C295,""B""),"" Blue"",""""),if(REGEXMATCH(C295,""P""),"" "&amp;"Purple"",""""))")," Purple")</f>
        <v>Purple</v>
      </c>
      <c r="U295" s="4" t="str">
        <f>IFERROR(__xludf.DUMMYFUNCTION("TRIM(CONCAT(""[right]"", REGEXREPLACE(C295, ""([ROYGBPXZC_]|1?[0-9])"", ""[img=119]res://textures/icons/$0.png[/img]\\n"")))"),"[right][img=119]res://textures/icons/P.png[/img]\n")</f>
        <v>[right][img=119]res://textures/icons/P.png[/img]\n</v>
      </c>
      <c r="V295" s="4" t="str">
        <f>IFERROR(__xludf.DUMMYFUNCTION("SUBSTITUTE(SUBSTITUTE(SUBSTITUTE(SUBSTITUTE(REGEXREPLACE(SUBSTITUTE(SUBSTITUTE(SUBSTITUTE(SUBSTITUTE(REGEXREPLACE(I295, ""(\[([ROYGBPTQUXZC_]|1?[0-9])\])"", ""[img=45]res://textures/icons/$2.png[/img]""),""--"",""—""),""-&gt;"",""•""),""~@"", CONCATENATE(""["&amp;"i]"",REGEXEXTRACT(B295,""^([\s\S]*),|$""),""[/i]"")),""~"", CONCATENATE(""[i]"",B295,""[/i]"")),""(\([\s\S]*?\))"",""[i][color=#34343A]$0[/color][/i]""), ""&lt;"", ""[""), ""&gt;"", ""]""), ""[/p][p]"", ""[font_size=15]\n\n[/font_size]""), ""[br/]"", ""\n"")"),"[i]Interrogate[/i] costs [img=45]res://textures/icons/P.png[/img] less to deploy if you didn't go first.[p]Choose a player; they reveal a non-revealed card in their hand. If they can't, you draw a card.[/p]")</f>
        <v xml:space="preserve">[i]Interrogate[/i] costs [img=45]res://textures/icons/P.png[/img] less to deploy if you didn't go first.[p]Choose a player; they reveal a non-revealed card in their hand. If they can't, you draw a card.[/p]</v>
      </c>
      <c r="W295" s="4" t="str">
        <f t="shared" si="17"/>
        <v>[i]Effect[/i]</v>
      </c>
      <c r="X295" s="4" t="str">
        <f t="shared" si="18"/>
        <v>RT_PC_005</v>
      </c>
    </row>
    <row r="296" outlineLevel="1">
      <c r="A296" s="1" t="s">
        <v>1149</v>
      </c>
      <c r="B296" s="1" t="s">
        <v>1150</v>
      </c>
      <c r="C296" s="2" t="s">
        <v>1111</v>
      </c>
      <c r="D296" s="6" t="str">
        <f>IFERROR(__xludf.DUMMYFUNCTION("IF(EQ(A296,B296),"""",SWITCH(IF(T296="""",0,COUNTA(SPLIT(T296,"" ""))),0,""Generic"",1,TRIM(T296),2,""Multicolor"",3,""Multicolor"",4,""Multicolor"",5,""Multicolor"",6,""Multicolor"",7,""Multicolor"",8,""Multicolor""))"),"Purple")</f>
        <v>Purple</v>
      </c>
      <c r="E296" s="1"/>
      <c r="F296" s="1" t="s">
        <v>33</v>
      </c>
      <c r="G296" s="1" t="s">
        <v>1138</v>
      </c>
      <c r="H296" s="2" t="s">
        <v>50</v>
      </c>
      <c r="I296" s="7" t="s">
        <v>1151</v>
      </c>
      <c r="J296" s="3" t="s">
        <v>1152</v>
      </c>
      <c r="O296" s="3"/>
      <c r="Q296" s="1">
        <v>60</v>
      </c>
      <c r="R296" s="1">
        <v>50</v>
      </c>
      <c r="S296" s="4" t="str">
        <f t="shared" si="16"/>
        <v>False</v>
      </c>
      <c r="T296" s="4" t="str">
        <f>IFERROR(__xludf.DUMMYFUNCTION("CONCATENATE(if(REGEXMATCH(C296,""R""),"" Red"",""""),if(REGEXMATCH(C296,""O""),"" Orange"",""""),if(REGEXMATCH(C296,""Y""),"" Yellow"",""""),if(REGEXMATCH(C296,""G""),"" Green"",""""),if(REGEXMATCH(C296,""B""),"" Blue"",""""),if(REGEXMATCH(C296,""P""),"" "&amp;"Purple"",""""))")," Purple")</f>
        <v>Purple</v>
      </c>
      <c r="U296" s="4" t="str">
        <f>IFERROR(__xludf.DUMMYFUNCTION("TRIM(CONCAT(""[right]"", REGEXREPLACE(C296, ""([ROYGBPXZC_]|1?[0-9])"", ""[img=119]res://textures/icons/$0.png[/img]\\n"")))"),"[right][img=119]res://textures/icons/2.png[/img]\n[img=119]res://textures/icons/P.png[/img]\n")</f>
        <v>[right][img=119]res://textures/icons/2.png[/img]\n[img=119]res://textures/icons/P.png[/img]\n</v>
      </c>
      <c r="V296" s="4" t="str">
        <f>IFERROR(__xludf.DUMMYFUNCTION("SUBSTITUTE(SUBSTITUTE(SUBSTITUTE(SUBSTITUTE(REGEXREPLACE(SUBSTITUTE(SUBSTITUTE(SUBSTITUTE(SUBSTITUTE(REGEXREPLACE(I296, ""(\[([ROYGBPTQUXZC_]|1?[0-9])\])"", ""[img=45]res://textures/icons/$2.png[/img]""),""--"",""—""),""-&gt;"",""•""),""~@"", CONCATENATE(""["&amp;"i]"",REGEXEXTRACT(B296,""^([\s\S]*),|$""),""[/i]"")),""~"", CONCATENATE(""[i]"",B296,""[/i]"")),""(\([\s\S]*?\))"",""[i][color=#34343A]$0[/color][/i]""), ""&lt;"", ""[""), ""&gt;"", ""]""), ""[/p][p]"", ""[font_size=15]\n\n[/font_size]""), ""[br/]"", ""\n"")"),"Each opponent reveals all of the Augmented and Link cards in their hands.")</f>
        <v xml:space="preserve">Each opponent reveals all of the Augmented and Link cards in their hands.</v>
      </c>
      <c r="W296" s="4" t="str">
        <f t="shared" si="17"/>
        <v>[i]Effect[/i]</v>
      </c>
      <c r="X296" s="4" t="str">
        <f t="shared" si="18"/>
        <v>RT_PC_006</v>
      </c>
    </row>
    <row r="297" outlineLevel="1">
      <c r="A297" s="1" t="s">
        <v>1153</v>
      </c>
      <c r="B297" s="1" t="s">
        <v>1154</v>
      </c>
      <c r="C297" s="2" t="s">
        <v>1103</v>
      </c>
      <c r="D297" s="6" t="str">
        <f>IFERROR(__xludf.DUMMYFUNCTION("IF(EQ(A297,B297),"""",SWITCH(IF(T297="""",0,COUNTA(SPLIT(T297,"" ""))),0,""Generic"",1,TRIM(T297),2,""Multicolor"",3,""Multicolor"",4,""Multicolor"",5,""Multicolor"",6,""Multicolor"",7,""Multicolor"",8,""Multicolor""))"),"Purple")</f>
        <v>Purple</v>
      </c>
      <c r="E297" s="1"/>
      <c r="F297" s="1" t="s">
        <v>33</v>
      </c>
      <c r="G297" s="4" t="s">
        <v>118</v>
      </c>
      <c r="H297" s="2" t="s">
        <v>44</v>
      </c>
      <c r="I297" s="3" t="s">
        <v>1155</v>
      </c>
      <c r="J297" s="3" t="s">
        <v>1156</v>
      </c>
      <c r="O297" s="3"/>
      <c r="Q297" s="1">
        <v>60</v>
      </c>
      <c r="R297" s="1">
        <v>50</v>
      </c>
      <c r="S297" s="4" t="str">
        <f t="shared" si="16"/>
        <v>False</v>
      </c>
      <c r="T297" s="4" t="str">
        <f>IFERROR(__xludf.DUMMYFUNCTION("CONCATENATE(if(REGEXMATCH(C297,""R""),"" Red"",""""),if(REGEXMATCH(C297,""O""),"" Orange"",""""),if(REGEXMATCH(C297,""Y""),"" Yellow"",""""),if(REGEXMATCH(C297,""G""),"" Green"",""""),if(REGEXMATCH(C297,""B""),"" Blue"",""""),if(REGEXMATCH(C297,""P""),"" "&amp;"Purple"",""""))")," Purple")</f>
        <v>Purple</v>
      </c>
      <c r="U297" s="4" t="str">
        <f>IFERROR(__xludf.DUMMYFUNCTION("TRIM(CONCAT(""[right]"", REGEXREPLACE(C297, ""([ROYGBPXZC_]|1?[0-9])"", ""[img=119]res://textures/icons/$0.png[/img]\\n"")))"),"[right][img=119]res://textures/icons/P.png[/img]\n")</f>
        <v>[right][img=119]res://textures/icons/P.png[/img]\n</v>
      </c>
      <c r="V297" s="4" t="str">
        <f>IFERROR(__xludf.DUMMYFUNCTION("SUBSTITUTE(SUBSTITUTE(SUBSTITUTE(SUBSTITUTE(REGEXREPLACE(SUBSTITUTE(SUBSTITUTE(SUBSTITUTE(SUBSTITUTE(REGEXREPLACE(I297, ""(\[([ROYGBPTQUXZC_]|1?[0-9])\])"", ""[img=45]res://textures/icons/$2.png[/img]""),""--"",""—""),""-&gt;"",""•""),""~@"", CONCATENATE(""["&amp;"i]"",REGEXEXTRACT(B297,""^([\s\S]*),|$""),""[/i]"")),""~"", CONCATENATE(""[i]"",B297,""[/i]"")),""(\([\s\S]*?\))"",""[i][color=#34343A]$0[/color][/i]""), ""&lt;"", ""[""), ""&gt;"", ""]""), ""[/p][p]"", ""[font_size=15]\n\n[/font_size]""), ""[br/]"", ""\n"")"),"[center][u]Advantageous[/u] [i][color=#34343A](When [i]Foresight[/i] resolves, draw a card.)[/color][/i], [u]Response[/u] [i][color=#34343A]([i]Foresight[/i] can be deployed during response phases.)[/color][/i][/center][p]Choose an effect in your hand, un"&amp;"til end of turn, it gains [u]response[/u].[/p]")</f>
        <v xml:space="preserve">[center][u]Advantageous[/u] [i][color=#34343A](When [i]Foresight[/i] resolves, draw a card.)[/color][/i], [u]Response[/u] [i][color=#34343A]([i]Foresight[/i] can be deployed during response phases.)[/color][/i][/center][p]Choose an effect in your hand, until end of turn, it gains [u]response[/u].[/p]</v>
      </c>
      <c r="W297" s="4" t="str">
        <f t="shared" si="17"/>
        <v>[i]Effect[/i]</v>
      </c>
      <c r="X297" s="4" t="str">
        <f t="shared" si="18"/>
        <v>RT_PC_007</v>
      </c>
    </row>
    <row r="298" outlineLevel="1">
      <c r="A298" s="1" t="s">
        <v>1157</v>
      </c>
      <c r="B298" s="1" t="s">
        <v>1158</v>
      </c>
      <c r="C298" s="2" t="s">
        <v>1084</v>
      </c>
      <c r="D298" s="6" t="str">
        <f>IFERROR(__xludf.DUMMYFUNCTION("IF(EQ(A298,B298),"""",SWITCH(IF(T298="""",0,COUNTA(SPLIT(T298,"" ""))),0,""Generic"",1,TRIM(T298),2,""Multicolor"",3,""Multicolor"",4,""Multicolor"",5,""Multicolor"",6,""Multicolor"",7,""Multicolor"",8,""Multicolor""))"),"Purple")</f>
        <v>Purple</v>
      </c>
      <c r="E298" s="1" t="s">
        <v>51</v>
      </c>
      <c r="F298" s="1" t="s">
        <v>26</v>
      </c>
      <c r="G298" s="1" t="s">
        <v>739</v>
      </c>
      <c r="H298" s="2" t="s">
        <v>50</v>
      </c>
      <c r="I298" s="3" t="s">
        <v>1159</v>
      </c>
      <c r="J298" s="3"/>
      <c r="K298" s="1">
        <v>0</v>
      </c>
      <c r="L298" s="1">
        <v>7</v>
      </c>
      <c r="O298" s="3"/>
      <c r="Q298" s="1">
        <v>50</v>
      </c>
      <c r="R298" s="1">
        <v>50</v>
      </c>
      <c r="S298" s="4" t="str">
        <f t="shared" si="16"/>
        <v>True</v>
      </c>
      <c r="T298" s="4" t="str">
        <f>IFERROR(__xludf.DUMMYFUNCTION("CONCATENATE(if(REGEXMATCH(C298,""R""),"" Red"",""""),if(REGEXMATCH(C298,""O""),"" Orange"",""""),if(REGEXMATCH(C298,""Y""),"" Yellow"",""""),if(REGEXMATCH(C298,""G""),"" Green"",""""),if(REGEXMATCH(C298,""B""),"" Blue"",""""),if(REGEXMATCH(C298,""P""),"" "&amp;"Purple"",""""))")," Purple")</f>
        <v>Purple</v>
      </c>
      <c r="U298" s="4" t="str">
        <f>IFERROR(__xludf.DUMMYFUNCTION("TRIM(CONCAT(""[right]"", REGEXREPLACE(C298, ""([ROYGBPXZC_]|1?[0-9])"", ""[img=119]res://textures/icons/$0.png[/img]\\n"")))"),"[right][img=119]res://textures/icons/1.png[/img]\n[img=119]res://textures/icons/P.png[/img]\n[img=119]res://textures/icons/P.png[/img]\n")</f>
        <v>[right][img=119]res://textures/icons/1.png[/img]\n[img=119]res://textures/icons/P.png[/img]\n[img=119]res://textures/icons/P.png[/img]\n</v>
      </c>
      <c r="V298" s="4" t="str">
        <f>IFERROR(__xludf.DUMMYFUNCTION("SUBSTITUTE(SUBSTITUTE(SUBSTITUTE(SUBSTITUTE(REGEXREPLACE(SUBSTITUTE(SUBSTITUTE(SUBSTITUTE(SUBSTITUTE(REGEXREPLACE(I298, ""(\[([ROYGBPTQUXZC_]|1?[0-9])\])"", ""[img=45]res://textures/icons/$2.png[/img]""),""--"",""—""),""-&gt;"",""•""),""~@"", CONCATENATE(""["&amp;"i]"",REGEXEXTRACT(B298,""^([\s\S]*),|$""),""[/i]"")),""~"", CONCATENATE(""[i]"",B298,""[/i]"")),""(\([\s\S]*?\))"",""[i][color=#34343A]$0[/color][/i]""), ""&lt;"", ""[""), ""&gt;"", ""]""), ""[/p][p]"", ""[font_size=15]\n\n[/font_size]""), ""[br/]"", ""\n"")"),"[center][u]Barricade[/u] [i][color=#34343A]([i]Information Bunker[/i] can't attack; however, intercepting doesn't exhaust it.)[/color][/i][/center]")</f>
        <v xml:space="preserve">[center][u]Barricade[/u] [i][color=#34343A]([i]Information Bunker[/i] can't attack; however, intercepting doesn't exhaust it.)[/color][/i][/center]</v>
      </c>
      <c r="W298" s="4" t="str">
        <f t="shared" si="17"/>
        <v>[i]Asset[/i]</v>
      </c>
      <c r="X298" s="4" t="str">
        <f t="shared" si="18"/>
        <v>RT_PC_008</v>
      </c>
    </row>
    <row r="299" outlineLevel="1">
      <c r="A299" s="1" t="s">
        <v>1160</v>
      </c>
      <c r="B299" s="1" t="s">
        <v>1161</v>
      </c>
      <c r="C299" s="2" t="s">
        <v>1103</v>
      </c>
      <c r="D299" s="6" t="str">
        <f>IFERROR(__xludf.DUMMYFUNCTION("IF(EQ(A299,B299),"""",SWITCH(IF(T299="""",0,COUNTA(SPLIT(T299,"" ""))),0,""Generic"",1,TRIM(T299),2,""Multicolor"",3,""Multicolor"",4,""Multicolor"",5,""Multicolor"",6,""Multicolor"",7,""Multicolor"",8,""Multicolor""))"),"Purple")</f>
        <v>Purple</v>
      </c>
      <c r="E299" s="1" t="s">
        <v>51</v>
      </c>
      <c r="F299" s="1" t="s">
        <v>26</v>
      </c>
      <c r="G299" s="1" t="s">
        <v>1162</v>
      </c>
      <c r="H299" s="2" t="s">
        <v>44</v>
      </c>
      <c r="I299" s="3" t="s">
        <v>1163</v>
      </c>
      <c r="J299" s="3"/>
      <c r="K299" s="1">
        <v>3</v>
      </c>
      <c r="L299" s="1">
        <v>1</v>
      </c>
      <c r="O299" s="3"/>
      <c r="Q299" s="1">
        <v>60</v>
      </c>
      <c r="R299" s="1">
        <v>50</v>
      </c>
      <c r="S299" s="4" t="str">
        <f t="shared" si="16"/>
        <v>True</v>
      </c>
      <c r="T299" s="4" t="str">
        <f>IFERROR(__xludf.DUMMYFUNCTION("CONCATENATE(if(REGEXMATCH(C299,""R""),"" Red"",""""),if(REGEXMATCH(C299,""O""),"" Orange"",""""),if(REGEXMATCH(C299,""Y""),"" Yellow"",""""),if(REGEXMATCH(C299,""G""),"" Green"",""""),if(REGEXMATCH(C299,""B""),"" Blue"",""""),if(REGEXMATCH(C299,""P""),"" "&amp;"Purple"",""""))")," Purple")</f>
        <v>Purple</v>
      </c>
      <c r="U299" s="4" t="str">
        <f>IFERROR(__xludf.DUMMYFUNCTION("TRIM(CONCAT(""[right]"", REGEXREPLACE(C299, ""([ROYGBPXZC_]|1?[0-9])"", ""[img=119]res://textures/icons/$0.png[/img]\\n"")))"),"[right][img=119]res://textures/icons/P.png[/img]\n")</f>
        <v>[right][img=119]res://textures/icons/P.png[/img]\n</v>
      </c>
      <c r="V299" s="4" t="str">
        <f>IFERROR(__xludf.DUMMYFUNCTION("SUBSTITUTE(SUBSTITUTE(SUBSTITUTE(SUBSTITUTE(REGEXREPLACE(SUBSTITUTE(SUBSTITUTE(SUBSTITUTE(SUBSTITUTE(REGEXREPLACE(I299, ""(\[([ROYGBPTQUXZC_]|1?[0-9])\])"", ""[img=45]res://textures/icons/$2.png[/img]""),""--"",""—""),""-&gt;"",""•""),""~@"", CONCATENATE(""["&amp;"i]"",REGEXEXTRACT(B299,""^([\s\S]*),|$""),""[/i]"")),""~"", CONCATENATE(""[i]"",B299,""[/i]"")),""(\([\s\S]*?\))"",""[i][color=#34343A]$0[/color][/i]""), ""&lt;"", ""[""), ""&gt;"", ""]""), ""[/p][p]"", ""[font_size=15]\n\n[/font_size]""), ""[br/]"", ""\n"")"),"[center][u]Hacker[/u] [i][color=#34343A](If [i]Anti-Hacker[/i] would deal damage to a commander, its owner instead puts that many cards from their deck into their discard.)[/color][/i][/center][p][u]Forfeit[/u] [i][color=#34343A](Put the specified card in"&amp;"to its owner's discard.)[/color][/i] [i]Anti-Hacker[/i]: [u]Effect Hack[/u] [i][color=#34343A](Choose an effect on the stack; send it to its owner's discard, none of its effects happen.)[/color][/i] unless its controller pays [img=45]res://textures/icons/"&amp;"1.png[/img].[/p]")</f>
        <v xml:space="preserve">[center][u]Hacker[/u] [i][color=#34343A](If [i]Anti-Hacker[/i] would deal damage to a commander, its owner instead puts that many cards from their deck into their discard.)[/color][/i][/center][p][u]Forfeit[/u] [i][color=#34343A](Put the specified card into its owner's discard.)[/color][/i] [i]Anti-Hacker[/i]: [u]Effect Hack[/u] [i][color=#34343A](Choose an effect on the stack; send it to its owner's discard, none of its effects happen.)[/color][/i] unless its controller pays [img=45]res://textures/icons/1.png[/img].[/p]</v>
      </c>
      <c r="W299" s="4" t="str">
        <f t="shared" si="17"/>
        <v>[i]Asset[/i]</v>
      </c>
      <c r="X299" s="4" t="str">
        <f t="shared" si="18"/>
        <v>RT_PC_009</v>
      </c>
    </row>
    <row r="300" outlineLevel="1">
      <c r="A300" s="1" t="s">
        <v>1164</v>
      </c>
      <c r="B300" s="1" t="s">
        <v>1165</v>
      </c>
      <c r="C300" s="2" t="s">
        <v>1103</v>
      </c>
      <c r="D300" s="6" t="str">
        <f>IFERROR(__xludf.DUMMYFUNCTION("IF(EQ(A300,B300),"""",SWITCH(IF(T300="""",0,COUNTA(SPLIT(T300,"" ""))),0,""Generic"",1,TRIM(T300),2,""Multicolor"",3,""Multicolor"",4,""Multicolor"",5,""Multicolor"",6,""Multicolor"",7,""Multicolor"",8,""Multicolor""))"),"Purple")</f>
        <v>Purple</v>
      </c>
      <c r="E300" s="1"/>
      <c r="F300" s="1" t="s">
        <v>33</v>
      </c>
      <c r="G300" s="1" t="s">
        <v>118</v>
      </c>
      <c r="H300" s="2" t="s">
        <v>50</v>
      </c>
      <c r="I300" s="3" t="s">
        <v>1166</v>
      </c>
      <c r="J300" s="3"/>
      <c r="O300" s="3"/>
      <c r="Q300" s="1">
        <v>60</v>
      </c>
      <c r="R300" s="1">
        <v>50</v>
      </c>
      <c r="S300" s="4" t="str">
        <f t="shared" si="16"/>
        <v>False</v>
      </c>
      <c r="T300" s="4" t="str">
        <f>IFERROR(__xludf.DUMMYFUNCTION("CONCATENATE(if(REGEXMATCH(C300,""R""),"" Red"",""""),if(REGEXMATCH(C300,""O""),"" Orange"",""""),if(REGEXMATCH(C300,""Y""),"" Yellow"",""""),if(REGEXMATCH(C300,""G""),"" Green"",""""),if(REGEXMATCH(C300,""B""),"" Blue"",""""),if(REGEXMATCH(C300,""P""),"" "&amp;"Purple"",""""))")," Purple")</f>
        <v>Purple</v>
      </c>
      <c r="U300" s="4" t="str">
        <f>IFERROR(__xludf.DUMMYFUNCTION("TRIM(CONCAT(""[right]"", REGEXREPLACE(C300, ""([ROYGBPXZC_]|1?[0-9])"", ""[img=119]res://textures/icons/$0.png[/img]\\n"")))"),"[right][img=119]res://textures/icons/P.png[/img]\n")</f>
        <v>[right][img=119]res://textures/icons/P.png[/img]\n</v>
      </c>
      <c r="V300" s="4" t="str">
        <f>IFERROR(__xludf.DUMMYFUNCTION("SUBSTITUTE(SUBSTITUTE(SUBSTITUTE(SUBSTITUTE(REGEXREPLACE(SUBSTITUTE(SUBSTITUTE(SUBSTITUTE(SUBSTITUTE(REGEXREPLACE(I300, ""(\[([ROYGBPTQUXZC_]|1?[0-9])\])"", ""[img=45]res://textures/icons/$2.png[/img]""),""--"",""—""),""-&gt;"",""•""),""~@"", CONCATENATE(""["&amp;"i]"",REGEXEXTRACT(B300,""^([\s\S]*),|$""),""[/i]"")),""~"", CONCATENATE(""[i]"",B300,""[/i]"")),""(\([\s\S]*?\))"",""[i][color=#34343A]$0[/color][/i]""), ""&lt;"", ""[""), ""&gt;"", ""]""), ""[/p][p]"", ""[font_size=15]\n\n[/font_size]""), ""[br/]"", ""\n"")"),"[center][u]Advantageous[/u] [i][color=#34343A](When [i]Archive[/i] resolves, draw a card.)[/color][/i][/center][p]Choose a card in your hand; shuffle it into your deck.[/p]")</f>
        <v xml:space="preserve">[center][u]Advantageous[/u] [i][color=#34343A](When [i]Archive[/i] resolves, draw a card.)[/color][/i][/center][p]Choose a card in your hand; shuffle it into your deck.[/p]</v>
      </c>
      <c r="W300" s="4" t="str">
        <f t="shared" si="17"/>
        <v>[i]Effect[/i]</v>
      </c>
      <c r="X300" s="4" t="str">
        <f t="shared" si="18"/>
        <v>RT_PC_010</v>
      </c>
    </row>
    <row r="301" outlineLevel="1">
      <c r="A301" s="1" t="s">
        <v>1167</v>
      </c>
      <c r="B301" s="1" t="s">
        <v>1168</v>
      </c>
      <c r="C301" s="2" t="s">
        <v>1070</v>
      </c>
      <c r="D301" s="6" t="str">
        <f>IFERROR(__xludf.DUMMYFUNCTION("IF(EQ(A301,B301),"""",SWITCH(IF(T301="""",0,COUNTA(SPLIT(T301,"" ""))),0,""Generic"",1,TRIM(T301),2,""Multicolor"",3,""Multicolor"",4,""Multicolor"",5,""Multicolor"",6,""Multicolor"",7,""Multicolor"",8,""Multicolor""))"),"Purple")</f>
        <v>Purple</v>
      </c>
      <c r="E301" s="1" t="s">
        <v>51</v>
      </c>
      <c r="F301" s="1" t="s">
        <v>26</v>
      </c>
      <c r="G301" s="1" t="s">
        <v>1169</v>
      </c>
      <c r="H301" s="2" t="s">
        <v>32</v>
      </c>
      <c r="I301" s="3" t="s">
        <v>1170</v>
      </c>
      <c r="J301" s="3"/>
      <c r="K301" s="1">
        <v>0</v>
      </c>
      <c r="L301" s="1">
        <v>8</v>
      </c>
      <c r="O301" s="3"/>
      <c r="Q301" s="1">
        <v>45</v>
      </c>
      <c r="R301" s="1">
        <v>50</v>
      </c>
      <c r="S301" s="4" t="str">
        <f t="shared" si="16"/>
        <v>True</v>
      </c>
      <c r="T301" s="4" t="str">
        <f>IFERROR(__xludf.DUMMYFUNCTION("CONCATENATE(if(REGEXMATCH(C301,""R""),"" Red"",""""),if(REGEXMATCH(C301,""O""),"" Orange"",""""),if(REGEXMATCH(C301,""Y""),"" Yellow"",""""),if(REGEXMATCH(C301,""G""),"" Green"",""""),if(REGEXMATCH(C301,""B""),"" Blue"",""""),if(REGEXMATCH(C301,""P""),"" "&amp;"Purple"",""""))")," Purple")</f>
        <v>Purple</v>
      </c>
      <c r="U301" s="4" t="str">
        <f>IFERROR(__xludf.DUMMYFUNCTION("TRIM(CONCAT(""[right]"", REGEXREPLACE(C301, ""([ROYGBPXZC_]|1?[0-9])"", ""[img=119]res://textures/icons/$0.png[/img]\\n"")))"),"[right][img=119]res://textures/icons/P.png[/img]\n[img=119]res://textures/icons/P.png[/img]\n[img=119]res://textures/icons/P.png[/img]\n")</f>
        <v>[right][img=119]res://textures/icons/P.png[/img]\n[img=119]res://textures/icons/P.png[/img]\n[img=119]res://textures/icons/P.png[/img]\n</v>
      </c>
      <c r="V301" s="4" t="str">
        <f>IFERROR(__xludf.DUMMYFUNCTION("SUBSTITUTE(SUBSTITUTE(SUBSTITUTE(SUBSTITUTE(REGEXREPLACE(SUBSTITUTE(SUBSTITUTE(SUBSTITUTE(SUBSTITUTE(REGEXREPLACE(I301, ""(\[([ROYGBPTQUXZC_]|1?[0-9])\])"", ""[img=45]res://textures/icons/$2.png[/img]""),""--"",""—""),""-&gt;"",""•""),""~@"", CONCATENATE(""["&amp;"i]"",REGEXEXTRACT(B301,""^([\s\S]*),|$""),""[/i]"")),""~"", CONCATENATE(""[i]"",B301,""[/i]"")),""(\([\s\S]*?\))"",""[i][color=#34343A]$0[/color][/i]""), ""&lt;"", ""[""), ""&gt;"", ""]""), ""[/p][p]"", ""[font_size=15]\n\n[/font_size]""), ""[br/]"", ""\n"")"),"[center][u]Spacecraft[/u] [i][color=#34343A](Space Shuttle can only intercept or be intercepted by assets with spacecraft.)[/color][/i][/center][p]When [i]Reconnaissance Satellite[/i] enters the battlefield, create a [u]transient[/u] [i][color=#34343A](If"&amp;" it would enter a discard, instead remove it from the game.)[/color][/i] [i]'Plan'[/i] in your hand.[/p]")</f>
        <v xml:space="preserve">[center][u]Spacecraft[/u] [i][color=#34343A](Space Shuttle can only intercept or be intercepted by assets with spacecraft.)[/color][/i][/center][p]When [i]Reconnaissance Satellite[/i] enters the battlefield, create a [u]transient[/u] [i][color=#34343A](If it would enter a discard, instead remove it from the game.)[/color][/i] [i]'Plan'[/i] in your hand.[/p]</v>
      </c>
      <c r="W301" s="4" t="str">
        <f t="shared" si="17"/>
        <v>[i]Asset[/i]</v>
      </c>
      <c r="X301" s="4" t="str">
        <f t="shared" si="18"/>
        <v>RT_PC_011</v>
      </c>
    </row>
    <row r="302" outlineLevel="1">
      <c r="A302" s="1" t="s">
        <v>1171</v>
      </c>
      <c r="B302" s="1" t="s">
        <v>1172</v>
      </c>
      <c r="C302" s="2" t="s">
        <v>1080</v>
      </c>
      <c r="D302" s="6" t="str">
        <f>IFERROR(__xludf.DUMMYFUNCTION("IF(EQ(A302,B302),"""",SWITCH(IF(T302="""",0,COUNTA(SPLIT(T302,"" ""))),0,""Generic"",1,TRIM(T302),2,""Multicolor"",3,""Multicolor"",4,""Multicolor"",5,""Multicolor"",6,""Multicolor"",7,""Multicolor"",8,""Multicolor""))"),"Purple")</f>
        <v>Purple</v>
      </c>
      <c r="E302" s="1"/>
      <c r="F302" s="1" t="s">
        <v>33</v>
      </c>
      <c r="G302" s="1" t="s">
        <v>118</v>
      </c>
      <c r="H302" s="2" t="s">
        <v>134</v>
      </c>
      <c r="I302" s="3" t="s">
        <v>1173</v>
      </c>
      <c r="O302" s="3"/>
      <c r="Q302" s="1">
        <v>60</v>
      </c>
      <c r="R302" s="1">
        <v>50</v>
      </c>
      <c r="S302" s="4" t="str">
        <f t="shared" si="16"/>
        <v>False</v>
      </c>
      <c r="T302" s="4" t="str">
        <f>IFERROR(__xludf.DUMMYFUNCTION("CONCATENATE(if(REGEXMATCH(C302,""R""),"" Red"",""""),if(REGEXMATCH(C302,""O""),"" Orange"",""""),if(REGEXMATCH(C302,""Y""),"" Yellow"",""""),if(REGEXMATCH(C302,""G""),"" Green"",""""),if(REGEXMATCH(C302,""B""),"" Blue"",""""),if(REGEXMATCH(C302,""P""),"" "&amp;"Purple"",""""))")," Purple")</f>
        <v>Purple</v>
      </c>
      <c r="U302" s="4" t="str">
        <f>IFERROR(__xludf.DUMMYFUNCTION("TRIM(CONCAT(""[right]"", REGEXREPLACE(C302, ""([ROYGBPXZC_]|1?[0-9])"", ""[img=119]res://textures/icons/$0.png[/img]\\n"")))"),"[right][img=119]res://textures/icons/P.png[/img]\n[img=119]res://textures/icons/P.png[/img]\n")</f>
        <v>[right][img=119]res://textures/icons/P.png[/img]\n[img=119]res://textures/icons/P.png[/img]\n</v>
      </c>
      <c r="V302" s="4" t="str">
        <f>IFERROR(__xludf.DUMMYFUNCTION("SUBSTITUTE(SUBSTITUTE(SUBSTITUTE(SUBSTITUTE(REGEXREPLACE(SUBSTITUTE(SUBSTITUTE(SUBSTITUTE(SUBSTITUTE(REGEXREPLACE(I302, ""(\[([ROYGBPTQUXZC_]|1?[0-9])\])"", ""[img=45]res://textures/icons/$2.png[/img]""),""--"",""—""),""-&gt;"",""•""),""~@"", CONCATENATE(""["&amp;"i]"",REGEXEXTRACT(B302,""^([\s\S]*),|$""),""[/i]"")),""~"", CONCATENATE(""[i]"",B302,""[/i]"")),""(\([\s\S]*?\))"",""[i][color=#34343A]$0[/color][/i]""), ""&lt;"", ""[""), ""&gt;"", ""]""), ""[/p][p]"", ""[font_size=15]\n\n[/font_size]""), ""[br/]"", ""\n"")"),"[u]Card Hack[/u] [i][color=#34343A](Choose a card on the stack; send it to its owner's discard, none of its effects happen.)[/color][/i], unless its controller pays its cost again. ")</f>
        <v xml:space="preserve">[u]Card Hack[/u] [i][color=#34343A](Choose a card on the stack; send it to its owner's discard, none of its effects happen.)[/color][/i], unless its controller pays its cost again.</v>
      </c>
      <c r="W302" s="4" t="str">
        <f t="shared" si="17"/>
        <v>[i]Effect[/i]</v>
      </c>
      <c r="X302" s="4" t="str">
        <f t="shared" si="18"/>
        <v>RT_PC_012</v>
      </c>
    </row>
    <row r="303">
      <c r="A303" s="1" t="s">
        <v>1174</v>
      </c>
      <c r="B303" s="1" t="s">
        <v>1175</v>
      </c>
      <c r="C303" s="2" t="s">
        <v>1134</v>
      </c>
      <c r="D303" s="6" t="str">
        <f>IFERROR(__xludf.DUMMYFUNCTION("IF(EQ(A303,B303),"""",SWITCH(IF(T303="""",0,COUNTA(SPLIT(T303,"" ""))),0,""Generic"",1,TRIM(T303),2,""Multicolor"",3,""Multicolor"",4,""Multicolor"",5,""Multicolor"",6,""Multicolor"",7,""Multicolor"",8,""Multicolor""))"),"Purple")</f>
        <v>Purple</v>
      </c>
      <c r="E303" s="1" t="s">
        <v>51</v>
      </c>
      <c r="F303" s="1" t="s">
        <v>73</v>
      </c>
      <c r="G303" s="1" t="s">
        <v>1176</v>
      </c>
      <c r="H303" s="2" t="s">
        <v>129</v>
      </c>
      <c r="I303" s="3" t="s">
        <v>1177</v>
      </c>
      <c r="J303" s="11" t="s">
        <v>1178</v>
      </c>
      <c r="K303" s="1">
        <v>5</v>
      </c>
      <c r="L303" s="1">
        <v>3</v>
      </c>
      <c r="O303" s="3"/>
      <c r="Q303" s="1">
        <v>45</v>
      </c>
      <c r="R303" s="1">
        <v>35</v>
      </c>
      <c r="S303" s="4" t="str">
        <f t="shared" si="16"/>
        <v>True</v>
      </c>
      <c r="T303" s="4" t="str">
        <f>IFERROR(__xludf.DUMMYFUNCTION("CONCATENATE(if(REGEXMATCH(C303,""R""),"" Red"",""""),if(REGEXMATCH(C303,""O""),"" Orange"",""""),if(REGEXMATCH(C303,""Y""),"" Yellow"",""""),if(REGEXMATCH(C303,""G""),"" Green"",""""),if(REGEXMATCH(C303,""B""),"" Blue"",""""),if(REGEXMATCH(C303,""P""),"" "&amp;"Purple"",""""))")," Purple")</f>
        <v>Purple</v>
      </c>
      <c r="U303" s="4" t="str">
        <f>IFERROR(__xludf.DUMMYFUNCTION("TRIM(CONCAT(""[right]"", REGEXREPLACE(C303, ""([ROYGBPXZC_]|1?[0-9])"", ""[img=119]res://textures/icons/$0.png[/img]\\n"")))"),"[right][img=119]res://textures/icons/1.png[/img]\n[img=119]res://textures/icons/P.png[/img]\n")</f>
        <v>[right][img=119]res://textures/icons/1.png[/img]\n[img=119]res://textures/icons/P.png[/img]\n</v>
      </c>
      <c r="V303" s="4" t="str">
        <f>IFERROR(__xludf.DUMMYFUNCTION("SUBSTITUTE(SUBSTITUTE(SUBSTITUTE(SUBSTITUTE(REGEXREPLACE(SUBSTITUTE(SUBSTITUTE(SUBSTITUTE(SUBSTITUTE(REGEXREPLACE(I303, ""(\[([ROYGBPTQUXZC_]|1?[0-9])\])"", ""[img=45]res://textures/icons/$2.png[/img]""),""--"",""—""),""-&gt;"",""•""),""~@"", CONCATENATE(""["&amp;"i]"",REGEXEXTRACT(B303,""^([\s\S]*),|$""),""[/i]"")),""~"", CONCATENATE(""[i]"",B303,""[/i]"")),""(\([\s\S]*?\))"",""[i][color=#34343A]$0[/color][/i]""), ""&lt;"", ""[""), ""&gt;"", ""]""), ""[/p][p]"", ""[font_size=15]\n\n[/font_size]""), ""[br/]"", ""\n"")"),"[center][i][color=#34343A](Becomes [i]'Dark Web Research'[/i] if you control [i]Sara Anthony, Cyber Criminal[/i].)[/color][/i]\n[u]Warrant[/u], [u]Hacker[/u][/center][p][b][i]As Commander[/i] —[/b] Your maximum hand size is doubled [i][color=#34343A](this"&amp;" applies after any fixed additions or subtractions.)[/color][/i][font_size=15]\n\n[/font_size][b][i]As Asset[/i] —[/b] Whenever you resolve a Virus, choose an effect in your hand to have its cost permanently reduced by [img=45]res://textures/icons/1.png[/"&amp;"img].[/p]")</f>
        <v xml:space="preserve">[center][i][color=#34343A](Becomes [i]'Dark Web Research'[/i] if you control [i]Sara Anthony, Cyber Criminal[/i].)[/color][/i]\n[u]Warrant[/u], [u]Hacker[/u][/center][p][b][i]As Commander[/i] —[/b] Your maximum hand size is doubled [i][color=#34343A](this applies after any fixed additions or subtractions.)[/color][/i][font_size=15]\n\n[/font_size][b][i]As Asset[/i] —[/b] Whenever you resolve a Virus, choose an effect in your hand to have its cost permanently reduced by [img=45]res://textures/icons/1.png[/img].[/p]</v>
      </c>
      <c r="W303" s="4" t="str">
        <f t="shared" si="17"/>
        <v>[i]Commander[/i]</v>
      </c>
      <c r="X303" s="4" t="str">
        <f t="shared" si="18"/>
        <v>RT_P_CMDR_2</v>
      </c>
    </row>
    <row r="304" outlineLevel="1">
      <c r="A304" s="1" t="s">
        <v>1179</v>
      </c>
      <c r="B304" s="4" t="s">
        <v>1180</v>
      </c>
      <c r="C304" s="5" t="s">
        <v>1103</v>
      </c>
      <c r="D304" s="6" t="str">
        <f>IFERROR(__xludf.DUMMYFUNCTION("IF(EQ(A304,B304),"""",SWITCH(IF(T304="""",0,COUNTA(SPLIT(T304,"" ""))),0,""Generic"",1,TRIM(T304),2,""Multicolor"",3,""Multicolor"",4,""Multicolor"",5,""Multicolor"",6,""Multicolor"",7,""Multicolor"",8,""Multicolor""))"),"Purple")</f>
        <v>Purple</v>
      </c>
      <c r="E304" s="4"/>
      <c r="F304" s="4" t="s">
        <v>87</v>
      </c>
      <c r="G304" s="4" t="s">
        <v>203</v>
      </c>
      <c r="H304" s="5" t="s">
        <v>25</v>
      </c>
      <c r="I304" s="3" t="s">
        <v>1181</v>
      </c>
      <c r="J304" s="7"/>
      <c r="O304" s="3"/>
      <c r="Q304" s="1">
        <v>45</v>
      </c>
      <c r="R304" s="1">
        <v>45</v>
      </c>
      <c r="S304" s="4" t="str">
        <f t="shared" si="16"/>
        <v>False</v>
      </c>
      <c r="T304" s="4" t="str">
        <f>IFERROR(__xludf.DUMMYFUNCTION("CONCATENATE(if(REGEXMATCH(C304,""R""),"" Red"",""""),if(REGEXMATCH(C304,""O""),"" Orange"",""""),if(REGEXMATCH(C304,""Y""),"" Yellow"",""""),if(REGEXMATCH(C304,""G""),"" Green"",""""),if(REGEXMATCH(C304,""B""),"" Blue"",""""),if(REGEXMATCH(C304,""P""),"" "&amp;"Purple"",""""))")," Purple")</f>
        <v>Purple</v>
      </c>
      <c r="U304" s="4" t="str">
        <f>IFERROR(__xludf.DUMMYFUNCTION("TRIM(CONCAT(""[right]"", REGEXREPLACE(C304, ""([ROYGBPXZC_]|1?[0-9])"", ""[img=119]res://textures/icons/$0.png[/img]\\n"")))"),"[right][img=119]res://textures/icons/P.png[/img]\n")</f>
        <v>[right][img=119]res://textures/icons/P.png[/img]\n</v>
      </c>
      <c r="V304" s="4" t="str">
        <f>IFERROR(__xludf.DUMMYFUNCTION("SUBSTITUTE(SUBSTITUTE(SUBSTITUTE(SUBSTITUTE(REGEXREPLACE(SUBSTITUTE(SUBSTITUTE(SUBSTITUTE(SUBSTITUTE(REGEXREPLACE(I304, ""(\[([ROYGBPTQUXZC_]|1?[0-9])\])"", ""[img=45]res://textures/icons/$2.png[/img]""),""--"",""—""),""-&gt;"",""•""),""~@"", CONCATENATE(""["&amp;"i]"",REGEXEXTRACT(B304,""^([\s\S]*),|$""),""[/i]"")),""~"", CONCATENATE(""[i]"",B304,""[/i]"")),""(\([\s\S]*?\))"",""[i][color=#34343A]$0[/color][/i]""), ""&lt;"", ""[""), ""&gt;"", ""]""), ""[/p][p]"", ""[font_size=15]\n\n[/font_size]""), ""[br/]"", ""\n"")"),"[center][i][color=#34343A](This effect can only be deployed if you control a renowned asset. Banked energy can't be spent to deploy renowned cards.)[/color][/i][/center][p][i]Dark Web Research[/i] costs [img=45]res://textures/icons/P.png[/img] less if you"&amp;" didn't go first.[font_size=15]\n\n[/font_size]A random player reveals the top card of their deck. At the beginning of your next turn, draw an additional card.[font_size=15]\n\n[/font_size][u]Personal[/u] [i][color=#34343A](Shuffle [i]'Sara Anthony, Cyber"&amp;" Criminal'[/i] into your deck.)[/color][/i][/p]")</f>
        <v xml:space="preserve">[center][i][color=#34343A](This effect can only be deployed if you control a renowned asset. Banked energy can't be spent to deploy renowned cards.)[/color][/i][/center][p][i]Dark Web Research[/i] costs [img=45]res://textures/icons/P.png[/img] less if you didn't go first.[font_size=15]\n\n[/font_size]A random player reveals the top card of their deck. At the beginning of your next turn, draw an additional card.[font_size=15]\n\n[/font_size][u]Personal[/u] [i][color=#34343A](Shuffle [i]'Sara Anthony, Cyber Criminal'[/i] into your deck.)[/color][/i][/p]</v>
      </c>
      <c r="W304" s="4" t="str">
        <f t="shared" si="17"/>
        <v xml:space="preserve">[i]R. Effect[/i]</v>
      </c>
      <c r="X304" s="4" t="str">
        <f t="shared" si="18"/>
        <v>RT_P_CMDR_2b</v>
      </c>
    </row>
    <row r="305" outlineLevel="1">
      <c r="A305" s="1" t="s">
        <v>1182</v>
      </c>
      <c r="B305" s="4" t="s">
        <v>1183</v>
      </c>
      <c r="C305" s="5" t="s">
        <v>1184</v>
      </c>
      <c r="D305" s="6" t="str">
        <f>IFERROR(__xludf.DUMMYFUNCTION("IF(EQ(A305,B305),"""",SWITCH(IF(T305="""",0,COUNTA(SPLIT(T305,"" ""))),0,""Generic"",1,TRIM(T305),2,""Multicolor"",3,""Multicolor"",4,""Multicolor"",5,""Multicolor"",6,""Multicolor"",7,""Multicolor"",8,""Multicolor""))"),"Purple")</f>
        <v>Purple</v>
      </c>
      <c r="E305" s="4"/>
      <c r="F305" s="4" t="s">
        <v>26</v>
      </c>
      <c r="G305" s="4" t="s">
        <v>1185</v>
      </c>
      <c r="H305" s="5" t="s">
        <v>81</v>
      </c>
      <c r="I305" s="7" t="s">
        <v>1186</v>
      </c>
      <c r="J305" s="7" t="s">
        <v>1187</v>
      </c>
      <c r="O305" s="3"/>
      <c r="Q305" s="1">
        <v>45</v>
      </c>
      <c r="R305" s="1">
        <v>50</v>
      </c>
      <c r="S305" s="4" t="str">
        <f t="shared" si="16"/>
        <v>False</v>
      </c>
      <c r="T305" s="4" t="str">
        <f>IFERROR(__xludf.DUMMYFUNCTION("CONCATENATE(if(REGEXMATCH(C305,""R""),"" Red"",""""),if(REGEXMATCH(C305,""O""),"" Orange"",""""),if(REGEXMATCH(C305,""Y""),"" Yellow"",""""),if(REGEXMATCH(C305,""G""),"" Green"",""""),if(REGEXMATCH(C305,""B""),"" Blue"",""""),if(REGEXMATCH(C305,""P""),"" "&amp;"Purple"",""""))")," Purple")</f>
        <v>Purple</v>
      </c>
      <c r="U305" s="4" t="str">
        <f>IFERROR(__xludf.DUMMYFUNCTION("TRIM(CONCAT(""[right]"", REGEXREPLACE(C305, ""([ROYGBPXZC_]|1?[0-9])"", ""[img=119]res://textures/icons/$0.png[/img]\\n"")))"),"[right][img=119]res://textures/icons/4.png[/img]\n[img=119]res://textures/icons/P.png[/img]\n[img=119]res://textures/icons/P.png[/img]\n")</f>
        <v>[right][img=119]res://textures/icons/4.png[/img]\n[img=119]res://textures/icons/P.png[/img]\n[img=119]res://textures/icons/P.png[/img]\n</v>
      </c>
      <c r="V305" s="4" t="str">
        <f>IFERROR(__xludf.DUMMYFUNCTION("SUBSTITUTE(SUBSTITUTE(SUBSTITUTE(SUBSTITUTE(REGEXREPLACE(SUBSTITUTE(SUBSTITUTE(SUBSTITUTE(SUBSTITUTE(REGEXREPLACE(I305, ""(\[([ROYGBPTQUXZC_]|1?[0-9])\])"", ""[img=45]res://textures/icons/$2.png[/img]""),""--"",""—""),""-&gt;"",""•""),""~@"", CONCATENATE(""["&amp;"i]"",REGEXEXTRACT(B305,""^([\s\S]*),|$""),""[/i]"")),""~"", CONCATENATE(""[i]"",B305,""[/i]"")),""(\([\s\S]*?\))"",""[i][color=#34343A]$0[/color][/i]""), ""&lt;"", ""[""), ""&gt;"", ""]""), ""[/p][p]"", ""[font_size=15]\n\n[/font_size]""), ""[br/]"", ""\n"")"),"[center][u]Doubt 2[/u] [i][color=#34343A](When you deploy [i]Governmental Reeducation[/i], shuffle 2 'Doubt's into your deck.)[/color][/i][/center][p]When [i]Governmental Reeducation[/i] enters the battlefield, attach it to a combatant of your choice.[fon"&amp;"t_size=15]\n\n[/font_size]You control the attached asset.[/p]")</f>
        <v xml:space="preserve">[center][u]Doubt 2[/u] [i][color=#34343A](When you deploy [i]Governmental Reeducation[/i], shuffle 2 'Doubt's into your deck.)[/color][/i][/center][p]When [i]Governmental Reeducation[/i] enters the battlefield, attach it to a combatant of your choice.[font_size=15]\n\n[/font_size]You control the attached asset.[/p]</v>
      </c>
      <c r="W305" s="4" t="str">
        <f t="shared" si="17"/>
        <v>[i]Asset[/i]</v>
      </c>
      <c r="X305" s="4" t="str">
        <f t="shared" si="18"/>
        <v>RT_PR_005</v>
      </c>
    </row>
    <row r="306" outlineLevel="1">
      <c r="A306" s="1" t="s">
        <v>1188</v>
      </c>
      <c r="B306" s="1" t="s">
        <v>1189</v>
      </c>
      <c r="C306" s="2" t="s">
        <v>1190</v>
      </c>
      <c r="D306" s="6" t="str">
        <f>IFERROR(__xludf.DUMMYFUNCTION("IF(EQ(A306,B306),"""",SWITCH(IF(T306="""",0,COUNTA(SPLIT(T306,"" ""))),0,""Generic"",1,TRIM(T306),2,""Multicolor"",3,""Multicolor"",4,""Multicolor"",5,""Multicolor"",6,""Multicolor"",7,""Multicolor"",8,""Multicolor""))"),"Purple")</f>
        <v>Purple</v>
      </c>
      <c r="E306" s="1"/>
      <c r="F306" s="1" t="s">
        <v>26</v>
      </c>
      <c r="G306" s="1" t="s">
        <v>1191</v>
      </c>
      <c r="H306" s="2" t="s">
        <v>81</v>
      </c>
      <c r="I306" s="7" t="s">
        <v>1192</v>
      </c>
      <c r="J306" s="3"/>
      <c r="O306" s="3"/>
      <c r="Q306" s="1">
        <v>60</v>
      </c>
      <c r="R306" s="1">
        <v>50</v>
      </c>
      <c r="S306" s="4" t="str">
        <f t="shared" si="16"/>
        <v>False</v>
      </c>
      <c r="T306" s="4" t="str">
        <f>IFERROR(__xludf.DUMMYFUNCTION("CONCATENATE(if(REGEXMATCH(C306,""R""),"" Red"",""""),if(REGEXMATCH(C306,""O""),"" Orange"",""""),if(REGEXMATCH(C306,""Y""),"" Yellow"",""""),if(REGEXMATCH(C306,""G""),"" Green"",""""),if(REGEXMATCH(C306,""B""),"" Blue"",""""),if(REGEXMATCH(C306,""P""),"" "&amp;"Purple"",""""))")," Purple")</f>
        <v>Purple</v>
      </c>
      <c r="U306" s="4" t="str">
        <f>IFERROR(__xludf.DUMMYFUNCTION("TRIM(CONCAT(""[right]"", REGEXREPLACE(C306, ""([ROYGBPXZC_]|1?[0-9])"", ""[img=119]res://textures/icons/$0.png[/img]\\n"")))"),"[right][img=119]res://textures/icons/1.png[/img]\n[img=119]res://textures/icons/P.png[/img]\n[img=119]res://textures/icons/P.png[/img]\n[img=119]res://textures/icons/P.png[/img]\n")</f>
        <v>[right][img=119]res://textures/icons/1.png[/img]\n[img=119]res://textures/icons/P.png[/img]\n[img=119]res://textures/icons/P.png[/img]\n[img=119]res://textures/icons/P.png[/img]\n</v>
      </c>
      <c r="V306" s="4" t="str">
        <f>IFERROR(__xludf.DUMMYFUNCTION("SUBSTITUTE(SUBSTITUTE(SUBSTITUTE(SUBSTITUTE(REGEXREPLACE(SUBSTITUTE(SUBSTITUTE(SUBSTITUTE(SUBSTITUTE(REGEXREPLACE(I306, ""(\[([ROYGBPTQUXZC_]|1?[0-9])\])"", ""[img=45]res://textures/icons/$2.png[/img]""),""--"",""—""),""-&gt;"",""•""),""~@"", CONCATENATE(""["&amp;"i]"",REGEXEXTRACT(B306,""^([\s\S]*),|$""),""[/i]"")),""~"", CONCATENATE(""[i]"",B306,""[/i]"")),""(\([\s\S]*?\))"",""[i][color=#34343A]$0[/color][/i]""), ""&lt;"", ""[""), ""&gt;"", ""]""), ""[/p][p]"", ""[font_size=15]\n\n[/font_size]""), ""[br/]"", ""\n"")"),"[p]Your maximum hand size is increased by 2.[font_size=15]\n\n[/font_size]If [i]Mobile Datacenter[/i] is inside a vehicle, it gets +1/+1 for each card in your hand.[/p]")</f>
        <v xml:space="preserve">[p]Your maximum hand size is increased by 2.[font_size=15]\n\n[/font_size]If [i]Mobile Datacenter[/i] is inside a vehicle, it gets +1/+1 for each card in your hand.[/p]</v>
      </c>
      <c r="W306" s="4" t="str">
        <f t="shared" si="17"/>
        <v>[i]Asset[/i]</v>
      </c>
      <c r="X306" s="4" t="str">
        <f t="shared" si="18"/>
        <v>RT_PR_006</v>
      </c>
    </row>
    <row r="307" outlineLevel="1">
      <c r="A307" s="1" t="s">
        <v>1193</v>
      </c>
      <c r="B307" s="4" t="s">
        <v>1194</v>
      </c>
      <c r="C307" s="5" t="s">
        <v>1080</v>
      </c>
      <c r="D307" s="6" t="str">
        <f>IFERROR(__xludf.DUMMYFUNCTION("IF(ISBLANK(A307),"""",SWITCH(IF(T307="""",0,COUNTA(SPLIT(T307,"" ""))),0,""Generic"",1,TRIM(T307),2,""Multicolor"",3,""Multicolor"",4,""Multicolor"",5,""Multicolor"",6,""Multicolor"",7,""Multicolor"",8,""Multicolor""))"),"Purple")</f>
        <v>Purple</v>
      </c>
      <c r="E307" s="4"/>
      <c r="F307" s="4" t="s">
        <v>33</v>
      </c>
      <c r="G307" s="4" t="s">
        <v>1195</v>
      </c>
      <c r="H307" s="5" t="s">
        <v>81</v>
      </c>
      <c r="I307" s="3" t="s">
        <v>1196</v>
      </c>
      <c r="J307" s="3"/>
      <c r="O307" s="3"/>
      <c r="Q307" s="1">
        <v>50</v>
      </c>
      <c r="R307" s="1">
        <v>50</v>
      </c>
      <c r="S307" s="4" t="str">
        <f t="shared" si="16"/>
        <v>False</v>
      </c>
      <c r="T307" s="4" t="str">
        <f>IFERROR(__xludf.DUMMYFUNCTION("CONCATENATE(if(REGEXMATCH(C307,""R""),"" Red"",""""),if(REGEXMATCH(C307,""O""),"" Orange"",""""),if(REGEXMATCH(C307,""Y""),"" Yellow"",""""),if(REGEXMATCH(C307,""G""),"" Green"",""""),if(REGEXMATCH(C307,""B""),"" Blue"",""""),if(REGEXMATCH(C307,""P""),"" "&amp;"Purple"",""""))")," Purple")</f>
        <v>Purple</v>
      </c>
      <c r="U307" s="4" t="str">
        <f>IFERROR(__xludf.DUMMYFUNCTION("TRIM(CONCAT(""[right]"", REGEXREPLACE(C307, ""([ROYGBPXZC_]|1?[0-9])"", ""[img=119]res://textures/icons/$0.png[/img]\\n"")))"),"[right][img=119]res://textures/icons/P.png[/img]\n[img=119]res://textures/icons/P.png[/img]\n")</f>
        <v>[right][img=119]res://textures/icons/P.png[/img]\n[img=119]res://textures/icons/P.png[/img]\n</v>
      </c>
      <c r="V307" s="4" t="str">
        <f>IFERROR(__xludf.DUMMYFUNCTION("SUBSTITUTE(SUBSTITUTE(SUBSTITUTE(SUBSTITUTE(REGEXREPLACE(SUBSTITUTE(SUBSTITUTE(SUBSTITUTE(SUBSTITUTE(REGEXREPLACE(I307, ""(\[([ROYGBPTQUXZC_]|1?[0-9])\])"", ""[img=45]res://textures/icons/$2.png[/img]""),""--"",""—""),""-&gt;"",""•""),""~@"", CONCATENATE(""["&amp;"i]"",REGEXEXTRACT(B307,""^([\s\S]*),|$""),""[/i]"")),""~"", CONCATENATE(""[i]"",B307,""[/i]"")),""(\([\s\S]*?\))"",""[i][color=#34343A]$0[/color][/i]""), ""&lt;"", ""[""), ""&gt;"", ""]""), ""[/p][p]"", ""[font_size=15]\n\n[/font_size]""), ""[br/]"", ""\n"")"),"Choose an effect in your discard, you may deploy that card. If you do, remove it from the game.")</f>
        <v xml:space="preserve">Choose an effect in your discard, you may deploy that card. If you do, remove it from the game.</v>
      </c>
      <c r="W307" s="4" t="str">
        <f t="shared" si="17"/>
        <v>[i]Effect[/i]</v>
      </c>
      <c r="X307" s="4" t="str">
        <f t="shared" si="18"/>
        <v>RT_PR_007</v>
      </c>
    </row>
    <row r="308" outlineLevel="1">
      <c r="A308" s="1" t="s">
        <v>1197</v>
      </c>
      <c r="B308" s="1" t="s">
        <v>1198</v>
      </c>
      <c r="C308" s="2" t="s">
        <v>1103</v>
      </c>
      <c r="D308" s="6" t="str">
        <f>IFERROR(__xludf.DUMMYFUNCTION("IF(EQ(A308,B308),"""",SWITCH(IF(T308="""",0,COUNTA(SPLIT(T308,"" ""))),0,""Generic"",1,TRIM(T308),2,""Multicolor"",3,""Multicolor"",4,""Multicolor"",5,""Multicolor"",6,""Multicolor"",7,""Multicolor"",8,""Multicolor""))"),"Purple")</f>
        <v>Purple</v>
      </c>
      <c r="E308" s="1"/>
      <c r="F308" s="1" t="s">
        <v>26</v>
      </c>
      <c r="G308" s="1" t="s">
        <v>411</v>
      </c>
      <c r="H308" s="2" t="s">
        <v>96</v>
      </c>
      <c r="I308" s="7" t="s">
        <v>1199</v>
      </c>
      <c r="J308" s="3"/>
      <c r="O308" s="3"/>
      <c r="Q308" s="1">
        <v>45</v>
      </c>
      <c r="R308" s="1">
        <v>50</v>
      </c>
      <c r="S308" s="4" t="str">
        <f t="shared" si="16"/>
        <v>False</v>
      </c>
      <c r="T308" s="4" t="str">
        <f>IFERROR(__xludf.DUMMYFUNCTION("CONCATENATE(if(REGEXMATCH(C308,""R""),"" Red"",""""),if(REGEXMATCH(C308,""O""),"" Orange"",""""),if(REGEXMATCH(C308,""Y""),"" Yellow"",""""),if(REGEXMATCH(C308,""G""),"" Green"",""""),if(REGEXMATCH(C308,""B""),"" Blue"",""""),if(REGEXMATCH(C308,""P""),"" "&amp;"Purple"",""""))")," Purple")</f>
        <v>Purple</v>
      </c>
      <c r="U308" s="4" t="str">
        <f>IFERROR(__xludf.DUMMYFUNCTION("TRIM(CONCAT(""[right]"", REGEXREPLACE(C308, ""([ROYGBPXZC_]|1?[0-9])"", ""[img=119]res://textures/icons/$0.png[/img]\\n"")))"),"[right][img=119]res://textures/icons/P.png[/img]\n")</f>
        <v>[right][img=119]res://textures/icons/P.png[/img]\n</v>
      </c>
      <c r="V308" s="4" t="str">
        <f>IFERROR(__xludf.DUMMYFUNCTION("SUBSTITUTE(SUBSTITUTE(SUBSTITUTE(SUBSTITUTE(REGEXREPLACE(SUBSTITUTE(SUBSTITUTE(SUBSTITUTE(SUBSTITUTE(REGEXREPLACE(I308, ""(\[([ROYGBPTQUXZC_]|1?[0-9])\])"", ""[img=45]res://textures/icons/$2.png[/img]""),""--"",""—""),""-&gt;"",""•""),""~@"", CONCATENATE(""["&amp;"i]"",REGEXEXTRACT(B308,""^([\s\S]*),|$""),""[/i]"")),""~"", CONCATENATE(""[i]"",B308,""[/i]"")),""(\([\s\S]*?\))"",""[i][color=#34343A]$0[/color][/i]""), ""&lt;"", ""[""), ""&gt;"", ""]""), ""[/p][p]"", ""[font_size=15]\n\n[/font_size]""), ""[br/]"", ""\n"")"),"[p]When [i]this card[/i] enters the battlefield, you may attach it to a combatant.[font_size=15]\n\n[/font_size][u]Throw[/u] [i][color=#34343A](Activate this ability only if attached to a combatant.)[/color][/i],[u]Forfeit[/u] [i][color=#34343A](Put the s"&amp;"pecified card into its owner's discard.)[/color][/i] [i]this card[/i]: Choose a non-human combatant, [u]Turn it and any adjacent non-human combatants Off[/u] [i][color=#34343A](Turn them face over, they will re-enter the battlefield once you pay their cos"&amp;"t again.)[/color][/i][font_size=15]\n\n[/font_size][u]Forfeit[/u] [i]this card[/i]: Add [img=45]res://textures/icons/P.png[/img][img=45]res://textures/icons/P.png[/img][img=45]res://textures/icons/P.png[/img].[/p]")</f>
        <v xml:space="preserve">[p]When [i]this card[/i] enters the battlefield, you may attach it to a combatant.[font_size=15]\n\n[/font_size][u]Throw[/u] [i][color=#34343A](Activate this ability only if attached to a combatant.)[/color][/i],[u]Forfeit[/u] [i][color=#34343A](Put the specified card into its owner's discard.)[/color][/i] [i]this card[/i]: Choose a non-human combatant, [u]Turn it and any adjacent non-human combatants Off[/u] [i][color=#34343A](Turn them face over, they will re-enter the battlefield once you pay their cost again.)[/color][/i][font_size=15]\n\n[/font_size][u]Forfeit[/u] [i]this card[/i]: Add [img=45]res://textures/icons/P.png[/img][img=45]res://textures/icons/P.png[/img][img=45]res://textures/icons/P.png[/img].[/p]</v>
      </c>
      <c r="W308" s="4" t="str">
        <f t="shared" si="17"/>
        <v>[i]Asset[/i]</v>
      </c>
      <c r="X308" s="4" t="str">
        <f t="shared" si="18"/>
        <v>RT_PR_008</v>
      </c>
    </row>
    <row r="309" outlineLevel="1">
      <c r="A309" s="4" t="s">
        <v>1200</v>
      </c>
      <c r="B309" s="4" t="s">
        <v>1201</v>
      </c>
      <c r="C309" s="5" t="s">
        <v>1080</v>
      </c>
      <c r="D309" s="6" t="str">
        <f>IFERROR(__xludf.DUMMYFUNCTION("IF(EQ(A309,B309),"""",SWITCH(IF(T309="""",0,COUNTA(SPLIT(T309,"" ""))),0,""Generic"",1,TRIM(T309),2,""Multicolor"",3,""Multicolor"",4,""Multicolor"",5,""Multicolor"",6,""Multicolor"",7,""Multicolor"",8,""Multicolor""))"),"Purple")</f>
        <v>Purple</v>
      </c>
      <c r="E309" s="4"/>
      <c r="F309" s="4" t="s">
        <v>33</v>
      </c>
      <c r="G309" s="4" t="s">
        <v>1195</v>
      </c>
      <c r="H309" s="5" t="s">
        <v>129</v>
      </c>
      <c r="I309" s="11" t="s">
        <v>1202</v>
      </c>
      <c r="J309" s="7" t="s">
        <v>1203</v>
      </c>
      <c r="K309" s="4" t="s">
        <v>29</v>
      </c>
      <c r="L309" s="4" t="s">
        <v>29</v>
      </c>
      <c r="M309" s="4"/>
      <c r="N309" s="4"/>
      <c r="O309" s="4"/>
      <c r="P309" s="4"/>
      <c r="Q309" s="8">
        <v>60</v>
      </c>
      <c r="R309" s="8">
        <v>50</v>
      </c>
      <c r="S309" s="4" t="str">
        <f t="shared" si="16"/>
        <v>False</v>
      </c>
      <c r="T309" s="4" t="str">
        <f>IFERROR(__xludf.DUMMYFUNCTION("CONCATENATE(if(REGEXMATCH(C309,""R""),"" Red"",""""),if(REGEXMATCH(C309,""O""),"" Orange"",""""),if(REGEXMATCH(C309,""Y""),"" Yellow"",""""),if(REGEXMATCH(C309,""G""),"" Green"",""""),if(REGEXMATCH(C309,""B""),"" Blue"",""""),if(REGEXMATCH(C309,""P""),"" "&amp;"Purple"",""""))")," Purple")</f>
        <v>Purple</v>
      </c>
      <c r="U309" s="4" t="str">
        <f>IFERROR(__xludf.DUMMYFUNCTION("TRIM(CONCAT(""[right]"", REGEXREPLACE(C309, ""([ROYGBPXZC_]|1?[0-9])"", ""[img=119]res://textures/icons/$0.png[/img]\\n"")))"),"[right][img=119]res://textures/icons/P.png[/img]\n[img=119]res://textures/icons/P.png[/img]\n")</f>
        <v>[right][img=119]res://textures/icons/P.png[/img]\n[img=119]res://textures/icons/P.png[/img]\n</v>
      </c>
      <c r="V309" s="4" t="str">
        <f>IFERROR(__xludf.DUMMYFUNCTION("SUBSTITUTE(SUBSTITUTE(SUBSTITUTE(SUBSTITUTE(REGEXREPLACE(SUBSTITUTE(SUBSTITUTE(SUBSTITUTE(SUBSTITUTE(REGEXREPLACE(I309, ""(\[([ROYGBPTQUXZC_]|1?[0-9])\])"", ""[img=45]res://textures/icons/$2.png[/img]""),""--"",""—""),""-&gt;"",""•""),""~@"", CONCATENATE(""["&amp;"i]"",REGEXEXTRACT(B309,""^([\s\S]*),|$""),""[/i]"")),""~"", CONCATENATE(""[i]"",B309,""[/i]"")),""(\([\s\S]*?\))"",""[i][color=#34343A]$0[/color][/i]""), ""&lt;"", ""[""), ""&gt;"", ""]""), ""[/p][p]"", ""[font_size=15]\n\n[/font_size]""), ""[br/]"", ""\n"")"),"[u]Card Hack[/u] [i][color=#34343A](Choose a card on the stack; send it to its owner's discard, none of its effects happen.)[/color][/i], that card's owner looks at the top 4 cards of their deck and draws 1 of them.")</f>
        <v xml:space="preserve">[u]Card Hack[/u] [i][color=#34343A](Choose a card on the stack; send it to its owner's discard, none of its effects happen.)[/color][/i], that card's owner looks at the top 4 cards of their deck and draws 1 of them.</v>
      </c>
      <c r="W309" s="4" t="str">
        <f t="shared" si="17"/>
        <v>[i]Effect[/i]</v>
      </c>
      <c r="X309" s="4" t="str">
        <f t="shared" si="18"/>
        <v>RT_PU_009</v>
      </c>
    </row>
    <row r="310" outlineLevel="1">
      <c r="A310" s="1" t="s">
        <v>1204</v>
      </c>
      <c r="B310" s="1" t="s">
        <v>1205</v>
      </c>
      <c r="C310" s="2" t="s">
        <v>1206</v>
      </c>
      <c r="D310" s="6" t="str">
        <f>IFERROR(__xludf.DUMMYFUNCTION("IF(EQ(A310,B310),"""",SWITCH(IF(T310="""",0,COUNTA(SPLIT(T310,"" ""))),0,""Generic"",1,TRIM(T310),2,""Multicolor"",3,""Multicolor"",4,""Multicolor"",5,""Multicolor"",6,""Multicolor"",7,""Multicolor"",8,""Multicolor""))"),"Purple")</f>
        <v>Purple</v>
      </c>
      <c r="E310" s="1"/>
      <c r="F310" s="1" t="s">
        <v>33</v>
      </c>
      <c r="G310" s="1" t="s">
        <v>1138</v>
      </c>
      <c r="H310" s="2" t="s">
        <v>129</v>
      </c>
      <c r="I310" s="7" t="s">
        <v>1207</v>
      </c>
      <c r="J310" s="3" t="s">
        <v>1208</v>
      </c>
      <c r="O310" s="3"/>
      <c r="Q310" s="1">
        <v>60</v>
      </c>
      <c r="R310" s="1">
        <v>50</v>
      </c>
      <c r="S310" s="4" t="str">
        <f t="shared" si="16"/>
        <v>False</v>
      </c>
      <c r="T310" s="4" t="str">
        <f>IFERROR(__xludf.DUMMYFUNCTION("CONCATENATE(if(REGEXMATCH(C310,""R""),"" Red"",""""),if(REGEXMATCH(C310,""O""),"" Orange"",""""),if(REGEXMATCH(C310,""Y""),"" Yellow"",""""),if(REGEXMATCH(C310,""G""),"" Green"",""""),if(REGEXMATCH(C310,""B""),"" Blue"",""""),if(REGEXMATCH(C310,""P""),"" "&amp;"Purple"",""""))")," Purple")</f>
        <v>Purple</v>
      </c>
      <c r="U310" s="4" t="str">
        <f>IFERROR(__xludf.DUMMYFUNCTION("TRIM(CONCAT(""[right]"", REGEXREPLACE(C310, ""([ROYGBPXZC_]|1?[0-9])"", ""[img=119]res://textures/icons/$0.png[/img]\\n"")))"),"[right][img=119]res://textures/icons/3.png[/img]\n[img=119]res://textures/icons/P.png[/img]\n")</f>
        <v>[right][img=119]res://textures/icons/3.png[/img]\n[img=119]res://textures/icons/P.png[/img]\n</v>
      </c>
      <c r="V310" s="4" t="str">
        <f>IFERROR(__xludf.DUMMYFUNCTION("SUBSTITUTE(SUBSTITUTE(SUBSTITUTE(SUBSTITUTE(REGEXREPLACE(SUBSTITUTE(SUBSTITUTE(SUBSTITUTE(SUBSTITUTE(REGEXREPLACE(I310, ""(\[([ROYGBPTQUXZC_]|1?[0-9])\])"", ""[img=45]res://textures/icons/$2.png[/img]""),""--"",""—""),""-&gt;"",""•""),""~@"", CONCATENATE(""["&amp;"i]"",REGEXEXTRACT(B310,""^([\s\S]*),|$""),""[/i]"")),""~"", CONCATENATE(""[i]"",B310,""[/i]"")),""(\([\s\S]*?\))"",""[i][color=#34343A]$0[/color][/i]""), ""&lt;"", ""[""), ""&gt;"", ""]""), ""[/p][p]"", ""[font_size=15]\n\n[/font_size]""), ""[br/]"", ""\n"")"),"[p]Choose an opponent and choose a card in their hand; shuffle that card into your deck.[/p]")</f>
        <v xml:space="preserve">[p]Choose an opponent and choose a card in their hand; shuffle that card into your deck.[/p]</v>
      </c>
      <c r="W310" s="4" t="str">
        <f t="shared" si="17"/>
        <v>[i]Effect[/i]</v>
      </c>
      <c r="X310" s="4" t="str">
        <f t="shared" si="18"/>
        <v>RT_PU_010</v>
      </c>
    </row>
    <row r="311" outlineLevel="1">
      <c r="A311" s="1" t="s">
        <v>1209</v>
      </c>
      <c r="B311" s="1" t="s">
        <v>1210</v>
      </c>
      <c r="C311" s="2" t="s">
        <v>1080</v>
      </c>
      <c r="D311" s="6" t="str">
        <f>IFERROR(__xludf.DUMMYFUNCTION("IF(EQ(A311,B311),"""",SWITCH(IF(T311="""",0,COUNTA(SPLIT(T311,"" ""))),0,""Generic"",1,TRIM(T311),2,""Multicolor"",3,""Multicolor"",4,""Multicolor"",5,""Multicolor"",6,""Multicolor"",7,""Multicolor"",8,""Multicolor""))"),"Purple")</f>
        <v>Purple</v>
      </c>
      <c r="E311" s="1"/>
      <c r="F311" s="1" t="s">
        <v>94</v>
      </c>
      <c r="G311" s="1" t="s">
        <v>1211</v>
      </c>
      <c r="H311" s="2" t="s">
        <v>119</v>
      </c>
      <c r="I311" s="3" t="s">
        <v>1212</v>
      </c>
      <c r="J311" s="3" t="s">
        <v>1213</v>
      </c>
      <c r="K311" s="1">
        <v>5</v>
      </c>
      <c r="L311" s="1">
        <v>2</v>
      </c>
      <c r="O311" s="3"/>
      <c r="Q311" s="1">
        <v>45</v>
      </c>
      <c r="R311" s="1">
        <v>35</v>
      </c>
      <c r="S311" s="4" t="str">
        <f t="shared" si="16"/>
        <v>True</v>
      </c>
      <c r="T311" s="4" t="str">
        <f>IFERROR(__xludf.DUMMYFUNCTION("CONCATENATE(if(REGEXMATCH(C311,""R""),"" Red"",""""),if(REGEXMATCH(C311,""O""),"" Orange"",""""),if(REGEXMATCH(C311,""Y""),"" Yellow"",""""),if(REGEXMATCH(C311,""G""),"" Green"",""""),if(REGEXMATCH(C311,""B""),"" Blue"",""""),if(REGEXMATCH(C311,""P""),"" "&amp;"Purple"",""""))")," Purple")</f>
        <v>Purple</v>
      </c>
      <c r="U311" s="4" t="str">
        <f>IFERROR(__xludf.DUMMYFUNCTION("TRIM(CONCAT(""[right]"", REGEXREPLACE(C311, ""([ROYGBPXZC_]|1?[0-9])"", ""[img=119]res://textures/icons/$0.png[/img]\\n"")))"),"[right][img=119]res://textures/icons/P.png[/img]\n[img=119]res://textures/icons/P.png[/img]\n")</f>
        <v>[right][img=119]res://textures/icons/P.png[/img]\n[img=119]res://textures/icons/P.png[/img]\n</v>
      </c>
      <c r="V311" s="4" t="str">
        <f>IFERROR(__xludf.DUMMYFUNCTION("SUBSTITUTE(SUBSTITUTE(SUBSTITUTE(SUBSTITUTE(REGEXREPLACE(SUBSTITUTE(SUBSTITUTE(SUBSTITUTE(SUBSTITUTE(REGEXREPLACE(I311, ""(\[([ROYGBPTQUXZC_]|1?[0-9])\])"", ""[img=45]res://textures/icons/$2.png[/img]""),""--"",""—""),""-&gt;"",""•""),""~@"", CONCATENATE(""["&amp;"i]"",REGEXEXTRACT(B311,""^([\s\S]*),|$""),""[/i]"")),""~"", CONCATENATE(""[i]"",B311,""[/i]"")),""(\([\s\S]*?\))"",""[i][color=#34343A]$0[/color][/i]""), ""&lt;"", ""[""), ""&gt;"", ""]""), ""[/p][p]"", ""[font_size=15]\n\n[/font_size]""), ""[br/]"", ""\n"")"),"[center][i][color=#34343A](Becomes [i]'Go Little Guy! Go!'[/i] if you already control [i]Jonathan Arrigotti[/i])[/color][/i]\n[u]Warrant[/u], [u]Hacker[/u] [i][color=#34343A](If [i]Jonathan Arrigotti[/i] would deal damage to a commander, its owner instead"&amp;" puts that many cards from their deck into their discard.)[/color][/i], [u]Uninterceptable[/u] [i][color=#34343A]([i]Jonathan Arrigotti[/i] can't be intercepted.)[/color][/i][/center][p]Whenever [i]Jonathan Arrigotti[/i] deals combat damage to an opponent"&amp;", shuffle a [i]'SQL Injection'[/i] into your deck.[/p]")</f>
        <v xml:space="preserve">[center][i][color=#34343A](Becomes [i]'Go Little Guy! Go!'[/i] if you already control [i]Jonathan Arrigotti[/i])[/color][/i]\n[u]Warrant[/u], [u]Hacker[/u] [i][color=#34343A](If [i]Jonathan Arrigotti[/i] would deal damage to a commander, its owner instead puts that many cards from their deck into their discard.)[/color][/i], [u]Uninterceptable[/u] [i][color=#34343A]([i]Jonathan Arrigotti[/i] can't be intercepted.)[/color][/i][/center][p]Whenever [i]Jonathan Arrigotti[/i] deals combat damage to an opponent, shuffle a [i]'SQL Injection'[/i] into your deck.[/p]</v>
      </c>
      <c r="W311" s="4" t="str">
        <f t="shared" si="17"/>
        <v xml:space="preserve">[i]R. Asset[/i]</v>
      </c>
      <c r="X311" s="4" t="str">
        <f t="shared" si="18"/>
        <v>RT_PU_011</v>
      </c>
    </row>
    <row r="312" outlineLevel="1">
      <c r="A312" s="1" t="s">
        <v>1214</v>
      </c>
      <c r="B312" s="1" t="s">
        <v>1215</v>
      </c>
      <c r="C312" s="2" t="s">
        <v>1206</v>
      </c>
      <c r="D312" s="6" t="str">
        <f>IFERROR(__xludf.DUMMYFUNCTION("IF(EQ(A312,B312),"""",SWITCH(IF(T312="""",0,COUNTA(SPLIT(T312,"" ""))),0,""Generic"",1,TRIM(T312),2,""Multicolor"",3,""Multicolor"",4,""Multicolor"",5,""Multicolor"",6,""Multicolor"",7,""Multicolor"",8,""Multicolor""))"),"Purple")</f>
        <v>Purple</v>
      </c>
      <c r="E312" s="1"/>
      <c r="F312" s="1" t="s">
        <v>87</v>
      </c>
      <c r="G312" s="1" t="s">
        <v>88</v>
      </c>
      <c r="H312" s="2" t="s">
        <v>25</v>
      </c>
      <c r="I312" s="3" t="s">
        <v>1216</v>
      </c>
      <c r="J312" s="3" t="s">
        <v>1217</v>
      </c>
      <c r="O312" s="3"/>
      <c r="Q312" s="1"/>
      <c r="R312" s="1"/>
      <c r="S312" s="4" t="str">
        <f t="shared" si="16"/>
        <v>False</v>
      </c>
      <c r="T312" s="4" t="str">
        <f>IFERROR(__xludf.DUMMYFUNCTION("CONCATENATE(if(REGEXMATCH(C312,""R""),"" Red"",""""),if(REGEXMATCH(C312,""O""),"" Orange"",""""),if(REGEXMATCH(C312,""Y""),"" Yellow"",""""),if(REGEXMATCH(C312,""G""),"" Green"",""""),if(REGEXMATCH(C312,""B""),"" Blue"",""""),if(REGEXMATCH(C312,""P""),"" "&amp;"Purple"",""""))")," Purple")</f>
        <v>Purple</v>
      </c>
      <c r="U312" s="4" t="str">
        <f>IFERROR(__xludf.DUMMYFUNCTION("TRIM(CONCAT(""[right]"", REGEXREPLACE(C312, ""([ROYGBPXZC_]|1?[0-9])"", ""[img=119]res://textures/icons/$0.png[/img]\\n"")))"),"[right][img=119]res://textures/icons/3.png[/img]\n[img=119]res://textures/icons/P.png[/img]\n")</f>
        <v>[right][img=119]res://textures/icons/3.png[/img]\n[img=119]res://textures/icons/P.png[/img]\n</v>
      </c>
      <c r="V312" s="4" t="str">
        <f>IFERROR(__xludf.DUMMYFUNCTION("SUBSTITUTE(SUBSTITUTE(SUBSTITUTE(SUBSTITUTE(REGEXREPLACE(SUBSTITUTE(SUBSTITUTE(SUBSTITUTE(SUBSTITUTE(REGEXREPLACE(I312, ""(\[([ROYGBPTQUXZC_]|1?[0-9])\])"", ""[img=45]res://textures/icons/$2.png[/img]""),""--"",""—""),""-&gt;"",""•""),""~@"", CONCATENATE(""["&amp;"i]"",REGEXEXTRACT(B312,""^([\s\S]*),|$""),""[/i]"")),""~"", CONCATENATE(""[i]"",B312,""[/i]"")),""(\([\s\S]*?\))"",""[i][color=#34343A]$0[/color][/i]""), ""&lt;"", ""[""), ""&gt;"", ""]""), ""[/p][p]"", ""[font_size=15]\n\n[/font_size]""), ""[br/]"", ""\n"")"),"[center][i][color=#34343A](This effect can only be deployed if you control a renowned asset. Banked energy can't be spent to deploy renowned cards.)[/color][/i]\n[u]Advantageous[/u][/center][p]Create a [u]transient[/u] [i]'Scout Drone'[/i] on the battlefi"&amp;"eld with a random keyword, from amongst the keywords on all assets currently on the battlefield.[font_size=15]\n\n[/font_size][u]Personal[/u] [i][color=#34343A](Shuffle [i]'Jonathan Arrigotti, Sara's Partner in Crime'[/i] into your deck.)[/color][/i][/p]")</f>
        <v xml:space="preserve">[center][i][color=#34343A](This effect can only be deployed if you control a renowned asset. Banked energy can't be spent to deploy renowned cards.)[/color][/i]\n[u]Advantageous[/u][/center][p]Create a [u]transient[/u] [i]'Scout Drone'[/i] on the battlefield with a random keyword, from amongst the keywords on all assets currently on the battlefield.[font_size=15]\n\n[/font_size][u]Personal[/u] [i][color=#34343A](Shuffle [i]'Jonathan Arrigotti, Sara's Partner in Crime'[/i] into your deck.)[/color][/i][/p]</v>
      </c>
      <c r="W312" s="4" t="str">
        <f t="shared" si="17"/>
        <v xml:space="preserve">[i]R. Effect[/i]</v>
      </c>
      <c r="X312" s="4" t="str">
        <f t="shared" si="18"/>
        <v>RT_PU_011b</v>
      </c>
    </row>
    <row r="313" outlineLevel="1">
      <c r="A313" s="1" t="s">
        <v>1218</v>
      </c>
      <c r="B313" s="1" t="s">
        <v>1219</v>
      </c>
      <c r="C313" s="2" t="s">
        <v>1103</v>
      </c>
      <c r="D313" s="6" t="str">
        <f>IFERROR(__xludf.DUMMYFUNCTION("IF(EQ(A313,B313),"""",SWITCH(IF(T313="""",0,COUNTA(SPLIT(T313,"" ""))),0,""Generic"",1,TRIM(T313),2,""Multicolor"",3,""Multicolor"",4,""Multicolor"",5,""Multicolor"",6,""Multicolor"",7,""Multicolor"",8,""Multicolor""))"),"Purple")</f>
        <v>Purple</v>
      </c>
      <c r="E313" s="1"/>
      <c r="F313" s="1" t="s">
        <v>33</v>
      </c>
      <c r="H313" s="2" t="s">
        <v>129</v>
      </c>
      <c r="I313" s="11" t="s">
        <v>1220</v>
      </c>
      <c r="J313" s="3"/>
      <c r="O313" s="3"/>
      <c r="Q313" s="1">
        <v>60</v>
      </c>
      <c r="R313" s="1">
        <v>50</v>
      </c>
      <c r="S313" s="4" t="str">
        <f t="shared" si="16"/>
        <v>False</v>
      </c>
      <c r="T313" s="4" t="str">
        <f>IFERROR(__xludf.DUMMYFUNCTION("CONCATENATE(if(REGEXMATCH(C313,""R""),"" Red"",""""),if(REGEXMATCH(C313,""O""),"" Orange"",""""),if(REGEXMATCH(C313,""Y""),"" Yellow"",""""),if(REGEXMATCH(C313,""G""),"" Green"",""""),if(REGEXMATCH(C313,""B""),"" Blue"",""""),if(REGEXMATCH(C313,""P""),"" "&amp;"Purple"",""""))")," Purple")</f>
        <v>Purple</v>
      </c>
      <c r="U313" s="4" t="str">
        <f>IFERROR(__xludf.DUMMYFUNCTION("TRIM(CONCAT(""[right]"", REGEXREPLACE(C313, ""([ROYGBPXZC_]|1?[0-9])"", ""[img=119]res://textures/icons/$0.png[/img]\\n"")))"),"[right][img=119]res://textures/icons/P.png[/img]\n")</f>
        <v>[right][img=119]res://textures/icons/P.png[/img]\n</v>
      </c>
      <c r="V313" s="4" t="str">
        <f>IFERROR(__xludf.DUMMYFUNCTION("SUBSTITUTE(SUBSTITUTE(SUBSTITUTE(SUBSTITUTE(REGEXREPLACE(SUBSTITUTE(SUBSTITUTE(SUBSTITUTE(SUBSTITUTE(REGEXREPLACE(I313, ""(\[([ROYGBPTQUXZC_]|1?[0-9])\])"", ""[img=45]res://textures/icons/$2.png[/img]""),""--"",""—""),""-&gt;"",""•""),""~@"", CONCATENATE(""["&amp;"i]"",REGEXEXTRACT(B313,""^([\s\S]*),|$""),""[/i]"")),""~"", CONCATENATE(""[i]"",B313,""[/i]"")),""(\([\s\S]*?\))"",""[i][color=#34343A]$0[/color][/i]""), ""&lt;"", ""[""), ""&gt;"", ""]""), ""[/p][p]"", ""[font_size=15]\n\n[/font_size]""), ""[br/]"", ""\n"")"),"[center][u]Append to Effect [img=45]res://textures/icons/1.png[/img][img=45]res://textures/icons/P.png[/img][/u] [i][color=#34343A](As you deploy an effect you may reveal [i]Reject[/i] and pay [img=45]res://textures/icons/1.png[/img][img=45]res://textures"&amp;"/icons/P.png[/img]. If you do add this card's effects as it resolves; it loses those effects once it leaves the stack.)[/color][/i][/center][p]Choose an asset; return it to its owner's hand.[/p]")</f>
        <v xml:space="preserve">[center][u]Append to Effect [img=45]res://textures/icons/1.png[/img][img=45]res://textures/icons/P.png[/img][/u] [i][color=#34343A](As you deploy an effect you may reveal [i]Reject[/i] and pay [img=45]res://textures/icons/1.png[/img][img=45]res://textures/icons/P.png[/img]. If you do add this card's effects as it resolves; it loses those effects once it leaves the stack.)[/color][/i][/center][p]Choose an asset; return it to its owner's hand.[/p]</v>
      </c>
      <c r="W313" s="4" t="str">
        <f t="shared" si="17"/>
        <v>[i]Effect[/i]</v>
      </c>
      <c r="X313" s="4" t="str">
        <f t="shared" si="18"/>
        <v>RT_PU_012</v>
      </c>
    </row>
    <row r="314" outlineLevel="1">
      <c r="A314" s="1" t="s">
        <v>1221</v>
      </c>
      <c r="B314" s="1" t="s">
        <v>1222</v>
      </c>
      <c r="C314" s="2" t="s">
        <v>1134</v>
      </c>
      <c r="D314" s="6" t="str">
        <f>IFERROR(__xludf.DUMMYFUNCTION("IF(EQ(A314,B314),"""",SWITCH(IF(T314="""",0,COUNTA(SPLIT(T314,"" ""))),0,""Generic"",1,TRIM(T314),2,""Multicolor"",3,""Multicolor"",4,""Multicolor"",5,""Multicolor"",6,""Multicolor"",7,""Multicolor"",8,""Multicolor""))"),"Purple")</f>
        <v>Purple</v>
      </c>
      <c r="E314" s="1" t="s">
        <v>51</v>
      </c>
      <c r="F314" s="1" t="s">
        <v>26</v>
      </c>
      <c r="G314" s="1" t="s">
        <v>1223</v>
      </c>
      <c r="H314" s="2" t="s">
        <v>129</v>
      </c>
      <c r="I314" s="3" t="s">
        <v>1224</v>
      </c>
      <c r="J314" s="3" t="s">
        <v>1225</v>
      </c>
      <c r="K314" s="1">
        <v>4</v>
      </c>
      <c r="L314" s="1">
        <v>2</v>
      </c>
      <c r="O314" s="3"/>
      <c r="Q314" s="1">
        <v>60</v>
      </c>
      <c r="R314" s="1">
        <v>50</v>
      </c>
      <c r="S314" s="4" t="str">
        <f t="shared" si="16"/>
        <v>True</v>
      </c>
      <c r="T314" s="4" t="str">
        <f>IFERROR(__xludf.DUMMYFUNCTION("CONCATENATE(if(REGEXMATCH(C314,""R""),"" Red"",""""),if(REGEXMATCH(C314,""O""),"" Orange"",""""),if(REGEXMATCH(C314,""Y""),"" Yellow"",""""),if(REGEXMATCH(C314,""G""),"" Green"",""""),if(REGEXMATCH(C314,""B""),"" Blue"",""""),if(REGEXMATCH(C314,""P""),"" "&amp;"Purple"",""""))")," Purple")</f>
        <v>Purple</v>
      </c>
      <c r="U314" s="4" t="str">
        <f>IFERROR(__xludf.DUMMYFUNCTION("TRIM(CONCAT(""[right]"", REGEXREPLACE(C314, ""([ROYGBPXZC_]|1?[0-9])"", ""[img=119]res://textures/icons/$0.png[/img]\\n"")))"),"[right][img=119]res://textures/icons/1.png[/img]\n[img=119]res://textures/icons/P.png[/img]\n")</f>
        <v>[right][img=119]res://textures/icons/1.png[/img]\n[img=119]res://textures/icons/P.png[/img]\n</v>
      </c>
      <c r="V314" s="4" t="str">
        <f>IFERROR(__xludf.DUMMYFUNCTION("SUBSTITUTE(SUBSTITUTE(SUBSTITUTE(SUBSTITUTE(REGEXREPLACE(SUBSTITUTE(SUBSTITUTE(SUBSTITUTE(SUBSTITUTE(REGEXREPLACE(I314, ""(\[([ROYGBPTQUXZC_]|1?[0-9])\])"", ""[img=45]res://textures/icons/$2.png[/img]""),""--"",""—""),""-&gt;"",""•""),""~@"", CONCATENATE(""["&amp;"i]"",REGEXEXTRACT(B314,""^([\s\S]*),|$""),""[/i]"")),""~"", CONCATENATE(""[i]"",B314,""[/i]"")),""(\([\s\S]*?\))"",""[i][color=#34343A]$0[/color][/i]""), ""&lt;"", ""[""), ""&gt;"", ""]""), ""[/p][p]"", ""[font_size=15]\n\n[/font_size]""), ""[br/]"", ""\n"")"),"[center][u]Hacker[/u] [i][color=#34343A](If [i]Rookie Anon[/i] would deal damage to a commander, its owner instead puts that many cards from their deck into their discard.)[/color][/i][/center][p]If you control 2 other Hackers with greater attack power, ["&amp;"i]Rookie Anon[/i] can't be intercepted.[/p]")</f>
        <v xml:space="preserve">[center][u]Hacker[/u] [i][color=#34343A](If [i]Rookie Anon[/i] would deal damage to a commander, its owner instead puts that many cards from their deck into their discard.)[/color][/i][/center][p]If you control 2 other Hackers with greater attack power, [i]Rookie Anon[/i] can't be intercepted.[/p]</v>
      </c>
      <c r="W314" s="4" t="str">
        <f t="shared" si="17"/>
        <v>[i]Asset[/i]</v>
      </c>
      <c r="X314" s="4" t="str">
        <f t="shared" si="18"/>
        <v>RT_PU_013</v>
      </c>
    </row>
    <row r="315" outlineLevel="1">
      <c r="A315" s="1" t="s">
        <v>1226</v>
      </c>
      <c r="B315" s="1" t="s">
        <v>1227</v>
      </c>
      <c r="C315" s="2" t="s">
        <v>1134</v>
      </c>
      <c r="D315" s="6" t="str">
        <f>IFERROR(__xludf.DUMMYFUNCTION("IF(EQ(A315,B315),"""",SWITCH(IF(T315="""",0,COUNTA(SPLIT(T315,"" ""))),0,""Generic"",1,TRIM(T315),2,""Multicolor"",3,""Multicolor"",4,""Multicolor"",5,""Multicolor"",6,""Multicolor"",7,""Multicolor"",8,""Multicolor""))"),"Purple")</f>
        <v>Purple</v>
      </c>
      <c r="E315" s="1"/>
      <c r="F315" s="1" t="s">
        <v>33</v>
      </c>
      <c r="G315" s="1" t="s">
        <v>118</v>
      </c>
      <c r="H315" s="2" t="s">
        <v>129</v>
      </c>
      <c r="I315" s="3" t="s">
        <v>1228</v>
      </c>
      <c r="J315" s="3"/>
      <c r="O315" s="3"/>
      <c r="Q315" s="1">
        <v>60</v>
      </c>
      <c r="R315" s="1">
        <v>50</v>
      </c>
      <c r="S315" s="4" t="str">
        <f t="shared" si="16"/>
        <v>False</v>
      </c>
      <c r="T315" s="4" t="str">
        <f>IFERROR(__xludf.DUMMYFUNCTION("CONCATENATE(if(REGEXMATCH(C315,""R""),"" Red"",""""),if(REGEXMATCH(C315,""O""),"" Orange"",""""),if(REGEXMATCH(C315,""Y""),"" Yellow"",""""),if(REGEXMATCH(C315,""G""),"" Green"",""""),if(REGEXMATCH(C315,""B""),"" Blue"",""""),if(REGEXMATCH(C315,""P""),"" "&amp;"Purple"",""""))")," Purple")</f>
        <v>Purple</v>
      </c>
      <c r="U315" s="4" t="str">
        <f>IFERROR(__xludf.DUMMYFUNCTION("TRIM(CONCAT(""[right]"", REGEXREPLACE(C315, ""([ROYGBPXZC_]|1?[0-9])"", ""[img=119]res://textures/icons/$0.png[/img]\\n"")))"),"[right][img=119]res://textures/icons/1.png[/img]\n[img=119]res://textures/icons/P.png[/img]\n")</f>
        <v>[right][img=119]res://textures/icons/1.png[/img]\n[img=119]res://textures/icons/P.png[/img]\n</v>
      </c>
      <c r="V315" s="4" t="str">
        <f>IFERROR(__xludf.DUMMYFUNCTION("SUBSTITUTE(SUBSTITUTE(SUBSTITUTE(SUBSTITUTE(REGEXREPLACE(SUBSTITUTE(SUBSTITUTE(SUBSTITUTE(SUBSTITUTE(REGEXREPLACE(I315, ""(\[([ROYGBPTQUXZC_]|1?[0-9])\])"", ""[img=45]res://textures/icons/$2.png[/img]""),""--"",""—""),""-&gt;"",""•""),""~@"", CONCATENATE(""["&amp;"i]"",REGEXEXTRACT(B315,""^([\s\S]*),|$""),""[/i]"")),""~"", CONCATENATE(""[i]"",B315,""[/i]"")),""(\([\s\S]*?\))"",""[i][color=#34343A]$0[/color][/i]""), ""&lt;"", ""[""), ""&gt;"", ""]""), ""[/p][p]"", ""[font_size=15]\n\n[/font_size]""), ""[br/]"", ""\n"")"),"Choose a non-human combatant; until end of turn, its attack power is reduced to 0 and its health is increased to ∞.")</f>
        <v xml:space="preserve">Choose a non-human combatant; until end of turn, its attack power is reduced to 0 and its health is increased to ∞.</v>
      </c>
      <c r="W315" s="4" t="str">
        <f t="shared" si="17"/>
        <v>[i]Effect[/i]</v>
      </c>
      <c r="X315" s="4" t="str">
        <f t="shared" si="18"/>
        <v>RT_PU_014</v>
      </c>
    </row>
    <row r="316" outlineLevel="1">
      <c r="A316" s="1" t="s">
        <v>1229</v>
      </c>
      <c r="B316" s="1" t="s">
        <v>1230</v>
      </c>
      <c r="C316" s="2" t="s">
        <v>1115</v>
      </c>
      <c r="D316" s="6" t="str">
        <f>IFERROR(__xludf.DUMMYFUNCTION("IF(EQ(A316,B316),"""",SWITCH(IF(T316="""",0,COUNTA(SPLIT(T316,"" ""))),0,""Generic"",1,TRIM(T316),2,""Multicolor"",3,""Multicolor"",4,""Multicolor"",5,""Multicolor"",6,""Multicolor"",7,""Multicolor"",8,""Multicolor""))"),"Purple")</f>
        <v>Purple</v>
      </c>
      <c r="E316" s="1"/>
      <c r="F316" s="1" t="s">
        <v>94</v>
      </c>
      <c r="G316" s="1" t="s">
        <v>1231</v>
      </c>
      <c r="H316" s="2" t="s">
        <v>513</v>
      </c>
      <c r="I316" s="3" t="s">
        <v>1232</v>
      </c>
      <c r="J316" s="3"/>
      <c r="O316" s="3"/>
      <c r="Q316" s="1">
        <v>60</v>
      </c>
      <c r="R316" s="1">
        <v>50</v>
      </c>
      <c r="S316" s="4" t="str">
        <f t="shared" si="16"/>
        <v>False</v>
      </c>
      <c r="T316" s="4" t="str">
        <f>IFERROR(__xludf.DUMMYFUNCTION("CONCATENATE(if(REGEXMATCH(C316,""R""),"" Red"",""""),if(REGEXMATCH(C316,""O""),"" Orange"",""""),if(REGEXMATCH(C316,""Y""),"" Yellow"",""""),if(REGEXMATCH(C316,""G""),"" Green"",""""),if(REGEXMATCH(C316,""B""),"" Blue"",""""),if(REGEXMATCH(C316,""P""),"" "&amp;"Purple"",""""))")," Purple")</f>
        <v>Purple</v>
      </c>
      <c r="U316" s="4" t="str">
        <f>IFERROR(__xludf.DUMMYFUNCTION("TRIM(CONCAT(""[right]"", REGEXREPLACE(C316, ""([ROYGBPXZC_]|1?[0-9])"", ""[img=119]res://textures/icons/$0.png[/img]\\n"")))"),"[right][img=119]res://textures/icons/2.png[/img]\n[img=119]res://textures/icons/P.png[/img]\n[img=119]res://textures/icons/P.png[/img]\n")</f>
        <v>[right][img=119]res://textures/icons/2.png[/img]\n[img=119]res://textures/icons/P.png[/img]\n[img=119]res://textures/icons/P.png[/img]\n</v>
      </c>
      <c r="V316" s="4" t="str">
        <f>IFERROR(__xludf.DUMMYFUNCTION("SUBSTITUTE(SUBSTITUTE(SUBSTITUTE(SUBSTITUTE(REGEXREPLACE(SUBSTITUTE(SUBSTITUTE(SUBSTITUTE(SUBSTITUTE(REGEXREPLACE(I316, ""(\[([ROYGBPTQUXZC_]|1?[0-9])\])"", ""[img=45]res://textures/icons/$2.png[/img]""),""--"",""—""),""-&gt;"",""•""),""~@"", CONCATENATE(""["&amp;"i]"",REGEXEXTRACT(B316,""^([\s\S]*),|$""),""[/i]"")),""~"", CONCATENATE(""[i]"",B316,""[/i]"")),""(\([\s\S]*?\))"",""[i][color=#34343A]$0[/color][/i]""), ""&lt;"", ""[""), ""&gt;"", ""]""), ""[/p][p]"", ""[font_size=15]\n\n[/font_size]""), ""[br/]"", ""\n"")"),"Whenever your opponent would put cards from the top of their deck into their discard, they put double that many cards instead.")</f>
        <v xml:space="preserve">Whenever your opponent would put cards from the top of their deck into their discard, they put double that many cards instead.</v>
      </c>
      <c r="W316" s="4" t="str">
        <f t="shared" si="17"/>
        <v xml:space="preserve">[i]R. Asset[/i]</v>
      </c>
      <c r="X316" s="4" t="str">
        <f t="shared" si="18"/>
        <v>RT_PU_015</v>
      </c>
    </row>
    <row r="317" outlineLevel="1">
      <c r="A317" s="1" t="s">
        <v>1233</v>
      </c>
      <c r="B317" s="1" t="str">
        <f t="shared" ref="B307:B329" si="19">A317</f>
        <v>PU_016</v>
      </c>
      <c r="C317" s="2"/>
      <c r="D317" s="6" t="str">
        <f>IFERROR(__xludf.DUMMYFUNCTION("IF(EQ(A317,B317),"""",SWITCH(IF(T317="""",0,COUNTA(SPLIT(T317,"" ""))),0,""Generic"",1,TRIM(T317),2,""Multicolor"",3,""Multicolor"",4,""Multicolor"",5,""Multicolor"",6,""Multicolor"",7,""Multicolor"",8,""Multicolor""))"),"")</f>
        <v/>
      </c>
      <c r="E317" s="1"/>
      <c r="F317" s="1"/>
      <c r="H317" s="2"/>
      <c r="I317" s="3"/>
      <c r="J317" s="3"/>
      <c r="O317" s="3"/>
      <c r="Q317" s="1">
        <v>60</v>
      </c>
      <c r="R317" s="1">
        <v>50</v>
      </c>
      <c r="S317" s="4" t="str">
        <f t="shared" si="16"/>
        <v>False</v>
      </c>
      <c r="T317" s="4" t="str">
        <f>IFERROR(__xludf.DUMMYFUNCTION("CONCATENATE(if(REGEXMATCH(C317,""R""),"" Red"",""""),if(REGEXMATCH(C317,""O""),"" Orange"",""""),if(REGEXMATCH(C317,""Y""),"" Yellow"",""""),if(REGEXMATCH(C317,""G""),"" Green"",""""),if(REGEXMATCH(C317,""B""),"" Blue"",""""),if(REGEXMATCH(C317,""P""),"" "&amp;"Purple"",""""))"),"")</f>
        <v/>
      </c>
      <c r="U317" s="4" t="str">
        <f>IFERROR(__xludf.DUMMYFUNCTION("TRIM(CONCAT(""[right]"", REGEXREPLACE(C317, ""([ROYGBPXZC_]|1?[0-9])"", ""[img=119]res://textures/icons/$0.png[/img]\\n"")))"),"[right]")</f>
        <v>[right]</v>
      </c>
      <c r="V317" s="4" t="str">
        <f>IFERROR(__xludf.DUMMYFUNCTION("SUBSTITUTE(SUBSTITUTE(SUBSTITUTE(SUBSTITUTE(REGEXREPLACE(SUBSTITUTE(SUBSTITUTE(SUBSTITUTE(SUBSTITUTE(REGEXREPLACE(I317, ""(\[([ROYGBPTQUXZC_]|1?[0-9])\])"", ""[img=45]res://textures/icons/$2.png[/img]""),""--"",""—""),""-&gt;"",""•""),""~@"", CONCATENATE(""["&amp;"i]"",REGEXEXTRACT(B317,""^([\s\S]*),|$""),""[/i]"")),""~"", CONCATENATE(""[i]"",B317,""[/i]"")),""(\([\s\S]*?\))"",""[i][color=#34343A]$0[/color][/i]""), ""&lt;"", ""[""), ""&gt;"", ""]""), ""[/p][p]"", ""[font_size=15]\n\n[/font_size]""), ""[br/]"", ""\n"")"),"")</f>
        <v/>
      </c>
      <c r="W317" s="4" t="str">
        <f t="shared" si="17"/>
        <v>[i][/i]</v>
      </c>
      <c r="X317" s="4" t="str">
        <f t="shared" si="18"/>
        <v>0</v>
      </c>
    </row>
    <row r="318" outlineLevel="1">
      <c r="A318" s="1" t="s">
        <v>1234</v>
      </c>
      <c r="B318" s="1" t="str">
        <f t="shared" si="19"/>
        <v>PC_013</v>
      </c>
      <c r="C318" s="2"/>
      <c r="D318" s="6" t="str">
        <f>IFERROR(__xludf.DUMMYFUNCTION("IF(EQ(A318,B318),"""",SWITCH(IF(T318="""",0,COUNTA(SPLIT(T318,"" ""))),0,""Generic"",1,TRIM(T318),2,""Multicolor"",3,""Multicolor"",4,""Multicolor"",5,""Multicolor"",6,""Multicolor"",7,""Multicolor"",8,""Multicolor""))"),"")</f>
        <v/>
      </c>
      <c r="E318" s="1"/>
      <c r="F318" s="1"/>
      <c r="H318" s="2"/>
      <c r="I318" s="3"/>
      <c r="J318" s="3"/>
      <c r="O318" s="3"/>
      <c r="Q318" s="1">
        <v>60</v>
      </c>
      <c r="R318" s="1">
        <v>50</v>
      </c>
      <c r="S318" s="4" t="str">
        <f t="shared" si="16"/>
        <v>False</v>
      </c>
      <c r="T318" s="4" t="str">
        <f>IFERROR(__xludf.DUMMYFUNCTION("CONCATENATE(if(REGEXMATCH(C318,""R""),"" Red"",""""),if(REGEXMATCH(C318,""O""),"" Orange"",""""),if(REGEXMATCH(C318,""Y""),"" Yellow"",""""),if(REGEXMATCH(C318,""G""),"" Green"",""""),if(REGEXMATCH(C318,""B""),"" Blue"",""""),if(REGEXMATCH(C318,""P""),"" "&amp;"Purple"",""""))"),"")</f>
        <v/>
      </c>
      <c r="U318" s="4" t="str">
        <f>IFERROR(__xludf.DUMMYFUNCTION("TRIM(CONCAT(""[right]"", REGEXREPLACE(C318, ""([ROYGBPXZC_]|1?[0-9])"", ""[img=119]res://textures/icons/$0.png[/img]\\n"")))"),"[right]")</f>
        <v>[right]</v>
      </c>
      <c r="V318" s="4" t="str">
        <f>IFERROR(__xludf.DUMMYFUNCTION("SUBSTITUTE(SUBSTITUTE(SUBSTITUTE(SUBSTITUTE(REGEXREPLACE(SUBSTITUTE(SUBSTITUTE(SUBSTITUTE(SUBSTITUTE(REGEXREPLACE(I318, ""(\[([ROYGBPTQUXZC_]|1?[0-9])\])"", ""[img=45]res://textures/icons/$2.png[/img]""),""--"",""—""),""-&gt;"",""•""),""~@"", CONCATENATE(""["&amp;"i]"",REGEXEXTRACT(B318,""^([\s\S]*),|$""),""[/i]"")),""~"", CONCATENATE(""[i]"",B318,""[/i]"")),""(\([\s\S]*?\))"",""[i][color=#34343A]$0[/color][/i]""), ""&lt;"", ""[""), ""&gt;"", ""]""), ""[/p][p]"", ""[font_size=15]\n\n[/font_size]""), ""[br/]"", ""\n"")"),"")</f>
        <v/>
      </c>
      <c r="W318" s="4" t="str">
        <f t="shared" si="17"/>
        <v>[i][/i]</v>
      </c>
      <c r="X318" s="4" t="str">
        <f t="shared" si="18"/>
        <v>0</v>
      </c>
    </row>
    <row r="319" outlineLevel="1">
      <c r="A319" s="1" t="s">
        <v>1235</v>
      </c>
      <c r="B319" s="1" t="s">
        <v>1236</v>
      </c>
      <c r="C319" s="2" t="s">
        <v>1134</v>
      </c>
      <c r="D319" s="6" t="str">
        <f>IFERROR(__xludf.DUMMYFUNCTION("IF(EQ(A319,B319),"""",SWITCH(IF(T319="""",0,COUNTA(SPLIT(T319,"" ""))),0,""Generic"",1,TRIM(T319),2,""Multicolor"",3,""Multicolor"",4,""Multicolor"",5,""Multicolor"",6,""Multicolor"",7,""Multicolor"",8,""Multicolor""))"),"Purple")</f>
        <v>Purple</v>
      </c>
      <c r="E319" s="1"/>
      <c r="F319" s="1" t="s">
        <v>33</v>
      </c>
      <c r="G319" s="1" t="s">
        <v>118</v>
      </c>
      <c r="H319" s="2" t="s">
        <v>134</v>
      </c>
      <c r="I319" s="3" t="s">
        <v>1237</v>
      </c>
      <c r="J319" s="3" t="s">
        <v>1238</v>
      </c>
      <c r="O319" s="3"/>
      <c r="Q319" s="1">
        <v>60</v>
      </c>
      <c r="R319" s="1">
        <v>50</v>
      </c>
      <c r="S319" s="4" t="str">
        <f t="shared" si="16"/>
        <v>False</v>
      </c>
      <c r="T319" s="4" t="str">
        <f>IFERROR(__xludf.DUMMYFUNCTION("CONCATENATE(if(REGEXMATCH(C319,""R""),"" Red"",""""),if(REGEXMATCH(C319,""O""),"" Orange"",""""),if(REGEXMATCH(C319,""Y""),"" Yellow"",""""),if(REGEXMATCH(C319,""G""),"" Green"",""""),if(REGEXMATCH(C319,""B""),"" Blue"",""""),if(REGEXMATCH(C319,""P""),"" "&amp;"Purple"",""""))")," Purple")</f>
        <v>Purple</v>
      </c>
      <c r="U319" s="4" t="str">
        <f>IFERROR(__xludf.DUMMYFUNCTION("TRIM(CONCAT(""[right]"", REGEXREPLACE(C319, ""([ROYGBPXZC_]|1?[0-9])"", ""[img=119]res://textures/icons/$0.png[/img]\\n"")))"),"[right][img=119]res://textures/icons/1.png[/img]\n[img=119]res://textures/icons/P.png[/img]\n")</f>
        <v>[right][img=119]res://textures/icons/1.png[/img]\n[img=119]res://textures/icons/P.png[/img]\n</v>
      </c>
      <c r="V319" s="4" t="str">
        <f>IFERROR(__xludf.DUMMYFUNCTION("SUBSTITUTE(SUBSTITUTE(SUBSTITUTE(SUBSTITUTE(REGEXREPLACE(SUBSTITUTE(SUBSTITUTE(SUBSTITUTE(SUBSTITUTE(REGEXREPLACE(I319, ""(\[([ROYGBPTQUXZC_]|1?[0-9])\])"", ""[img=45]res://textures/icons/$2.png[/img]""),""--"",""—""),""-&gt;"",""•""),""~@"", CONCATENATE(""["&amp;"i]"",REGEXEXTRACT(B319,""^([\s\S]*),|$""),""[/i]"")),""~"", CONCATENATE(""[i]"",B319,""[/i]"")),""(\([\s\S]*?\))"",""[i][color=#34343A]$0[/color][/i]""), ""&lt;"", ""[""), ""&gt;"", ""]""), ""[/p][p]"", ""[font_size=15]\n\n[/font_size]""), ""[br/]"", ""\n"")"),"[p]You may discard a card rather than pay [i]Hacking Game[/i]'s cost.[font_size=15]\n\n[/font_size]Choose a card on the stack to return to its owner's hand.[/p]")</f>
        <v xml:space="preserve">[p]You may discard a card rather than pay [i]Hacking Game[/i]'s cost.[font_size=15]\n\n[/font_size]Choose a card on the stack to return to its owner's hand.[/p]</v>
      </c>
      <c r="W319" s="4" t="str">
        <f t="shared" si="17"/>
        <v>[i]Effect[/i]</v>
      </c>
      <c r="X319" s="4" t="str">
        <f t="shared" si="18"/>
        <v>RT_PC_014</v>
      </c>
    </row>
    <row r="320" outlineLevel="1">
      <c r="A320" s="1" t="s">
        <v>1239</v>
      </c>
      <c r="B320" s="4" t="s">
        <v>1240</v>
      </c>
      <c r="C320" s="5" t="s">
        <v>1103</v>
      </c>
      <c r="D320" s="6" t="str">
        <f>IFERROR(__xludf.DUMMYFUNCTION("IF(EQ(A320,B320),"""",SWITCH(IF(T320="""",0,COUNTA(SPLIT(T320,"" ""))),0,""Generic"",1,TRIM(T320),2,""Multicolor"",3,""Multicolor"",4,""Multicolor"",5,""Multicolor"",6,""Multicolor"",7,""Multicolor"",8,""Multicolor""))"),"Purple")</f>
        <v>Purple</v>
      </c>
      <c r="E320" s="4"/>
      <c r="F320" s="4" t="s">
        <v>33</v>
      </c>
      <c r="G320" s="4"/>
      <c r="H320" s="5" t="s">
        <v>44</v>
      </c>
      <c r="I320" s="3" t="s">
        <v>1241</v>
      </c>
      <c r="J320" s="3" t="s">
        <v>1242</v>
      </c>
      <c r="O320" s="3"/>
      <c r="Q320" s="1">
        <v>60</v>
      </c>
      <c r="R320" s="1">
        <v>50</v>
      </c>
      <c r="S320" s="4" t="str">
        <f t="shared" si="16"/>
        <v>False</v>
      </c>
      <c r="T320" s="4" t="str">
        <f>IFERROR(__xludf.DUMMYFUNCTION("CONCATENATE(if(REGEXMATCH(C320,""R""),"" Red"",""""),if(REGEXMATCH(C320,""O""),"" Orange"",""""),if(REGEXMATCH(C320,""Y""),"" Yellow"",""""),if(REGEXMATCH(C320,""G""),"" Green"",""""),if(REGEXMATCH(C320,""B""),"" Blue"",""""),if(REGEXMATCH(C320,""P""),"" "&amp;"Purple"",""""))")," Purple")</f>
        <v>Purple</v>
      </c>
      <c r="U320" s="4" t="str">
        <f>IFERROR(__xludf.DUMMYFUNCTION("TRIM(CONCAT(""[right]"", REGEXREPLACE(C320, ""([ROYGBPXZC_]|1?[0-9])"", ""[img=119]res://textures/icons/$0.png[/img]\\n"")))"),"[right][img=119]res://textures/icons/P.png[/img]\n")</f>
        <v>[right][img=119]res://textures/icons/P.png[/img]\n</v>
      </c>
      <c r="V320" s="4" t="str">
        <f>IFERROR(__xludf.DUMMYFUNCTION("SUBSTITUTE(SUBSTITUTE(SUBSTITUTE(SUBSTITUTE(REGEXREPLACE(SUBSTITUTE(SUBSTITUTE(SUBSTITUTE(SUBSTITUTE(REGEXREPLACE(I320, ""(\[([ROYGBPTQUXZC_]|1?[0-9])\])"", ""[img=45]res://textures/icons/$2.png[/img]""),""--"",""—""),""-&gt;"",""•""),""~@"", CONCATENATE(""["&amp;"i]"",REGEXEXTRACT(B320,""^([\s\S]*),|$""),""[/i]"")),""~"", CONCATENATE(""[i]"",B320,""[/i]"")),""(\([\s\S]*?\))"",""[i][color=#34343A]$0[/color][/i]""), ""&lt;"", ""[""), ""&gt;"", ""]""), ""[/p][p]"", ""[font_size=15]\n\n[/font_size]""), ""[br/]"", ""\n"")"),"[center][u]Advantageous[/u] [i][color=#34343A](When [i]Void Pointer[/i] resolves, draw a card.)[/color][/i][p][i]Void Pointer[/i] has all Effect subtypes.[/p][/center]")</f>
        <v xml:space="preserve">[center][u]Advantageous[/u] [i][color=#34343A](When [i]Void Pointer[/i] resolves, draw a card.)[/color][/i][p][i]Void Pointer[/i] has all Effect subtypes.[/p][/center]</v>
      </c>
      <c r="W320" s="4" t="str">
        <f t="shared" si="17"/>
        <v>[i]Effect[/i]</v>
      </c>
      <c r="X320" s="4" t="str">
        <f t="shared" si="18"/>
        <v>RT_PC_015</v>
      </c>
    </row>
    <row r="321" outlineLevel="1">
      <c r="A321" s="1" t="s">
        <v>1243</v>
      </c>
      <c r="B321" s="4" t="s">
        <v>1244</v>
      </c>
      <c r="C321" s="5" t="s">
        <v>1084</v>
      </c>
      <c r="D321" s="6" t="str">
        <f>IFERROR(__xludf.DUMMYFUNCTION("IF(ISBLANK(A321),"""",SWITCH(IF(T321="""",0,COUNTA(SPLIT(T321,"" ""))),0,""Generic"",1,TRIM(T321),2,""Multicolor"",3,""Multicolor"",4,""Multicolor"",5,""Multicolor"",6,""Multicolor"",7,""Multicolor"",8,""Multicolor""))"),"Purple")</f>
        <v>Purple</v>
      </c>
      <c r="E321" s="4"/>
      <c r="F321" s="4" t="s">
        <v>33</v>
      </c>
      <c r="G321" s="4"/>
      <c r="H321" s="5" t="s">
        <v>44</v>
      </c>
      <c r="I321" s="7" t="s">
        <v>1245</v>
      </c>
      <c r="J321" s="7" t="s">
        <v>1246</v>
      </c>
      <c r="K321" s="4" t="s">
        <v>29</v>
      </c>
      <c r="L321" s="4" t="s">
        <v>29</v>
      </c>
      <c r="O321" s="3"/>
      <c r="Q321" s="1">
        <v>45</v>
      </c>
      <c r="R321" s="1">
        <v>50</v>
      </c>
      <c r="S321" s="4" t="str">
        <f t="shared" si="16"/>
        <v>False</v>
      </c>
      <c r="T321" s="4" t="str">
        <f>IFERROR(__xludf.DUMMYFUNCTION("CONCATENATE(if(REGEXMATCH(C321,""R""),"" Red"",""""),if(REGEXMATCH(C321,""O""),"" Orange"",""""),if(REGEXMATCH(C321,""Y""),"" Yellow"",""""),if(REGEXMATCH(C321,""G""),"" Green"",""""),if(REGEXMATCH(C321,""B""),"" Blue"",""""),if(REGEXMATCH(C321,""P""),"" "&amp;"Purple"",""""))")," Purple")</f>
        <v>Purple</v>
      </c>
      <c r="U321" s="4" t="str">
        <f>IFERROR(__xludf.DUMMYFUNCTION("TRIM(CONCAT(""[right]"", REGEXREPLACE(C321, ""([ROYGBPXZC_]|1?[0-9])"", ""[img=119]res://textures/icons/$0.png[/img]\\n"")))"),"[right][img=119]res://textures/icons/1.png[/img]\n[img=119]res://textures/icons/P.png[/img]\n[img=119]res://textures/icons/P.png[/img]\n")</f>
        <v>[right][img=119]res://textures/icons/1.png[/img]\n[img=119]res://textures/icons/P.png[/img]\n[img=119]res://textures/icons/P.png[/img]\n</v>
      </c>
      <c r="V321" s="4" t="str">
        <f>IFERROR(__xludf.DUMMYFUNCTION("SUBSTITUTE(SUBSTITUTE(SUBSTITUTE(SUBSTITUTE(REGEXREPLACE(SUBSTITUTE(SUBSTITUTE(SUBSTITUTE(SUBSTITUTE(REGEXREPLACE(I321, ""(\[([ROYGBPTQUXZC_]|1?[0-9])\])"", ""[img=45]res://textures/icons/$2.png[/img]""),""--"",""—""),""-&gt;"",""•""),""~@"", CONCATENATE(""["&amp;"i]"",REGEXEXTRACT(B321,""^([\s\S]*),|$""),""[/i]"")),""~"", CONCATENATE(""[i]"",B321,""[/i]"")),""(\([\s\S]*?\))"",""[i][color=#34343A]$0[/color][/i]""), ""&lt;"", ""[""), ""&gt;"", ""]""), ""[/p][p]"", ""[font_size=15]\n\n[/font_size]""), ""[br/]"", ""\n"")"),"Choose a non-Human asset on the battlefield, create a [u]transient[/u] [i][color=#34343A](If it would enter a discard, instead remove it from the game.)[/color][/i] copy of it.")</f>
        <v xml:space="preserve">Choose a non-Human asset on the battlefield, create a [u]transient[/u] [i][color=#34343A](If it would enter a discard, instead remove it from the game.)[/color][/i] copy of it.</v>
      </c>
      <c r="W321" s="4" t="str">
        <f t="shared" si="17"/>
        <v>[i]Effect[/i]</v>
      </c>
      <c r="X321" s="4" t="str">
        <f t="shared" si="18"/>
        <v>RT_PC_016</v>
      </c>
    </row>
    <row r="322" outlineLevel="1">
      <c r="A322" s="1" t="s">
        <v>1247</v>
      </c>
      <c r="B322" s="4" t="s">
        <v>1248</v>
      </c>
      <c r="C322" s="5" t="s">
        <v>1103</v>
      </c>
      <c r="D322" s="6" t="str">
        <f>IFERROR(__xludf.DUMMYFUNCTION("IF(ISBLANK(A322),"""",SWITCH(IF(T322="""",0,COUNTA(SPLIT(T322,"" ""))),0,""Generic"",1,TRIM(T322),2,""Multicolor"",3,""Multicolor"",4,""Multicolor"",5,""Multicolor"",6,""Multicolor"",7,""Multicolor"",8,""Multicolor""))"),"Purple")</f>
        <v>Purple</v>
      </c>
      <c r="E322" s="4" t="s">
        <v>79</v>
      </c>
      <c r="F322" s="4" t="s">
        <v>26</v>
      </c>
      <c r="G322" s="4" t="s">
        <v>1249</v>
      </c>
      <c r="H322" s="5" t="s">
        <v>50</v>
      </c>
      <c r="I322" s="7" t="s">
        <v>1250</v>
      </c>
      <c r="J322" s="4"/>
      <c r="K322" s="8">
        <v>1</v>
      </c>
      <c r="L322" s="8">
        <v>1</v>
      </c>
      <c r="O322" s="3"/>
      <c r="Q322" s="1">
        <v>60</v>
      </c>
      <c r="R322" s="1">
        <v>50</v>
      </c>
      <c r="S322" s="4" t="str">
        <f t="shared" ref="S322:S385" si="20">IF(ISBLANK(A322),"",IF(EQ(LEN(TRIM(K322)),0),"False","True"))</f>
        <v>True</v>
      </c>
      <c r="T322" s="4" t="str">
        <f>IFERROR(__xludf.DUMMYFUNCTION("CONCATENATE(if(REGEXMATCH(C322,""R""),"" Red"",""""),if(REGEXMATCH(C322,""O""),"" Orange"",""""),if(REGEXMATCH(C322,""Y""),"" Yellow"",""""),if(REGEXMATCH(C322,""G""),"" Green"",""""),if(REGEXMATCH(C322,""B""),"" Blue"",""""),if(REGEXMATCH(C322,""P""),"" "&amp;"Purple"",""""))")," Purple")</f>
        <v>Purple</v>
      </c>
      <c r="U322" s="4" t="str">
        <f>IFERROR(__xludf.DUMMYFUNCTION("TRIM(CONCAT(""[right]"", REGEXREPLACE(C322, ""([ROYGBPXZC_]|1?[0-9])"", ""[img=119]res://textures/icons/$0.png[/img]\\n"")))"),"[right][img=119]res://textures/icons/P.png[/img]\n")</f>
        <v>[right][img=119]res://textures/icons/P.png[/img]\n</v>
      </c>
      <c r="V322" s="4" t="str">
        <f>IFERROR(__xludf.DUMMYFUNCTION("SUBSTITUTE(SUBSTITUTE(SUBSTITUTE(SUBSTITUTE(REGEXREPLACE(SUBSTITUTE(SUBSTITUTE(SUBSTITUTE(SUBSTITUTE(REGEXREPLACE(I322, ""(\[([ROYGBPTQUXZC_]|1?[0-9])\])"", ""[img=45]res://textures/icons/$2.png[/img]""),""--"",""—""),""-&gt;"",""•""),""~@"", CONCATENATE(""["&amp;"i]"",REGEXEXTRACT(B322,""^([\s\S]*),|$""),""[/i]"")),""~"", CONCATENATE(""[i]"",B322,""[/i]"")),""(\([\s\S]*?\))"",""[i][color=#34343A]$0[/color][/i]""), ""&lt;"", ""[""), ""&gt;"", ""]""), ""[/p][p]"", ""[font_size=15]\n\n[/font_size]""), ""[br/]"", ""\n"")"),"[center][i][color=#34343A](A deck may have any number of [i]Scout Drone[/i]s in it.)[/color][/i]\n[u]Exchange [img=45]res://textures/icons/P.png[/img][/u] [i][color=#34343A](Pay [img=45]res://textures/icons/P.png[/img], Discard [i]Scout Drone[/i] from you"&amp;"r hand: Draw a card.)[/color][/i], [u]Flying[/u] [i][color=#34343A]([i]Scout Drone[/i] can only be intercepted by assets with ranged or flying. If [i]Scout Drone[/i] is intercepting you may choose another combatant or commander you control, that is not al"&amp;"so intercepting, to take the damage instead.)[/color][/i][/center]")</f>
        <v xml:space="preserve">[center][i][color=#34343A](A deck may have any number of [i]Scout Drone[/i]s in it.)[/color][/i]\n[u]Exchange [img=45]res://textures/icons/P.png[/img][/u] [i][color=#34343A](Pay [img=45]res://textures/icons/P.png[/img], Discard [i]Scout Drone[/i] from your hand: Draw a card.)[/color][/i], [u]Flying[/u] [i][color=#34343A]([i]Scout Drone[/i] can only be intercepted by assets with ranged or flying. If [i]Scout Drone[/i] is intercepting you may choose another combatant or commander you control, that is not also intercepting, to take the damage instead.)[/color][/i][/center]</v>
      </c>
      <c r="W322" s="4" t="str">
        <f t="shared" ref="W322:W385" si="21">CONCATENATE("[i]",F322,"[/i]")</f>
        <v>[i]Asset[/i]</v>
      </c>
      <c r="X322" s="4" t="str">
        <f t="shared" ref="X322:X374" si="22">IF(EQ(A322,B322),"0",CONCATENATE("RT_",A322))</f>
        <v>RT_PC_017</v>
      </c>
    </row>
    <row r="323" outlineLevel="1">
      <c r="A323" s="1" t="s">
        <v>1251</v>
      </c>
      <c r="B323" s="4" t="s">
        <v>1252</v>
      </c>
      <c r="C323" s="5" t="s">
        <v>1103</v>
      </c>
      <c r="D323" s="6" t="str">
        <f>IFERROR(__xludf.DUMMYFUNCTION("IF(ISBLANK(A323),"""",SWITCH(IF(T323="""",0,COUNTA(SPLIT(T323,"" ""))),0,""Generic"",1,TRIM(T323),2,""Multicolor"",3,""Multicolor"",4,""Multicolor"",5,""Multicolor"",6,""Multicolor"",7,""Multicolor"",8,""Multicolor""))"),"Purple")</f>
        <v>Purple</v>
      </c>
      <c r="E323" s="4"/>
      <c r="F323" s="4" t="s">
        <v>33</v>
      </c>
      <c r="G323" s="4" t="s">
        <v>118</v>
      </c>
      <c r="H323" s="5" t="s">
        <v>44</v>
      </c>
      <c r="I323" s="7" t="s">
        <v>1253</v>
      </c>
      <c r="J323" s="7" t="s">
        <v>1254</v>
      </c>
      <c r="O323" s="3"/>
      <c r="Q323" s="1">
        <v>45</v>
      </c>
      <c r="R323" s="1">
        <v>50</v>
      </c>
      <c r="S323" s="4" t="str">
        <f t="shared" si="20"/>
        <v>False</v>
      </c>
      <c r="T323" s="4" t="str">
        <f>IFERROR(__xludf.DUMMYFUNCTION("CONCATENATE(if(REGEXMATCH(C323,""R""),"" Red"",""""),if(REGEXMATCH(C323,""O""),"" Orange"",""""),if(REGEXMATCH(C323,""Y""),"" Yellow"",""""),if(REGEXMATCH(C323,""G""),"" Green"",""""),if(REGEXMATCH(C323,""B""),"" Blue"",""""),if(REGEXMATCH(C323,""P""),"" "&amp;"Purple"",""""))")," Purple")</f>
        <v>Purple</v>
      </c>
      <c r="U323" s="4" t="str">
        <f>IFERROR(__xludf.DUMMYFUNCTION("TRIM(CONCAT(""[right]"", REGEXREPLACE(C323, ""([ROYGBPXZC_]|1?[0-9])"", ""[img=119]res://textures/icons/$0.png[/img]\\n"")))"),"[right][img=119]res://textures/icons/P.png[/img]\n")</f>
        <v>[right][img=119]res://textures/icons/P.png[/img]\n</v>
      </c>
      <c r="V323" s="4" t="str">
        <f>IFERROR(__xludf.DUMMYFUNCTION("SUBSTITUTE(SUBSTITUTE(SUBSTITUTE(SUBSTITUTE(REGEXREPLACE(SUBSTITUTE(SUBSTITUTE(SUBSTITUTE(SUBSTITUTE(REGEXREPLACE(I323, ""(\[([ROYGBPTQUXZC_]|1?[0-9])\])"", ""[img=45]res://textures/icons/$2.png[/img]""),""--"",""—""),""-&gt;"",""•""),""~@"", CONCATENATE(""["&amp;"i]"",REGEXEXTRACT(B323,""^([\s\S]*),|$""),""[/i]"")),""~"", CONCATENATE(""[i]"",B323,""[/i]"")),""(\([\s\S]*?\))"",""[i][color=#34343A]$0[/color][/i]""), ""&lt;"", ""[""), ""&gt;"", ""]""), ""[/p][p]"", ""[font_size=15]\n\n[/font_size]""), ""[br/]"", ""\n"")"),"Choose a card to [u]hack[/u] [i][color=#34343A](The specified card's owner discards it, none of its effects happen.)[/color][/i] with [u]generalized cost[/u] [i][color=#34343A](The cost of the card if all typed symbols were replaced with generic numbers. "&amp;"E.x. Their Password was 'password' has a generalized cost of [img=45]res://textures/icons/1.png[/img].)[/color][/i] [img=45]res://textures/icons/2.png[/img] or less.")</f>
        <v xml:space="preserve">Choose a card to [u]hack[/u] [i][color=#34343A](The specified card's owner discards it, none of its effects happen.)[/color][/i] with [u]generalized cost[/u] [i][color=#34343A](The cost of the card if all typed symbols were replaced with generic numbers. E.x. Their Password was 'password' has a generalized cost of [img=45]res://textures/icons/1.png[/img].)[/color][/i] [img=45]res://textures/icons/2.png[/img] or less.</v>
      </c>
      <c r="W323" s="4" t="str">
        <f t="shared" si="21"/>
        <v>[i]Effect[/i]</v>
      </c>
      <c r="X323" s="4" t="str">
        <f t="shared" si="22"/>
        <v>RT_PC_018</v>
      </c>
    </row>
    <row r="324" outlineLevel="1">
      <c r="A324" s="1" t="s">
        <v>1255</v>
      </c>
      <c r="B324" s="4" t="s">
        <v>1256</v>
      </c>
      <c r="C324" s="5" t="s">
        <v>1080</v>
      </c>
      <c r="D324" s="6" t="str">
        <f>IFERROR(__xludf.DUMMYFUNCTION("IF(ISBLANK(A324),"""",SWITCH(IF(T324="""",0,COUNTA(SPLIT(T324,"" ""))),0,""Generic"",1,TRIM(T324),2,""Multicolor"",3,""Multicolor"",4,""Multicolor"",5,""Multicolor"",6,""Multicolor"",7,""Multicolor"",8,""Multicolor""))"),"Purple")</f>
        <v>Purple</v>
      </c>
      <c r="E324" s="4" t="s">
        <v>51</v>
      </c>
      <c r="F324" s="4" t="s">
        <v>26</v>
      </c>
      <c r="G324" s="4" t="s">
        <v>1257</v>
      </c>
      <c r="H324" s="5" t="s">
        <v>32</v>
      </c>
      <c r="I324" s="7" t="s">
        <v>1258</v>
      </c>
      <c r="J324" s="4"/>
      <c r="K324" s="8">
        <v>2</v>
      </c>
      <c r="L324" s="8">
        <v>3</v>
      </c>
      <c r="O324" s="3"/>
      <c r="Q324" s="1">
        <v>60</v>
      </c>
      <c r="R324" s="1">
        <v>35</v>
      </c>
      <c r="S324" s="4" t="str">
        <f t="shared" si="20"/>
        <v>True</v>
      </c>
      <c r="T324" s="4" t="str">
        <f>IFERROR(__xludf.DUMMYFUNCTION("CONCATENATE(if(REGEXMATCH(C324,""R""),"" Red"",""""),if(REGEXMATCH(C324,""O""),"" Orange"",""""),if(REGEXMATCH(C324,""Y""),"" Yellow"",""""),if(REGEXMATCH(C324,""G""),"" Green"",""""),if(REGEXMATCH(C324,""B""),"" Blue"",""""),if(REGEXMATCH(C324,""P""),"" "&amp;"Purple"",""""))")," Purple")</f>
        <v>Purple</v>
      </c>
      <c r="U324" s="4" t="str">
        <f>IFERROR(__xludf.DUMMYFUNCTION("TRIM(CONCAT(""[right]"", REGEXREPLACE(C324, ""([ROYGBPXZC_]|1?[0-9])"", ""[img=119]res://textures/icons/$0.png[/img]\\n"")))"),"[right][img=119]res://textures/icons/P.png[/img]\n[img=119]res://textures/icons/P.png[/img]\n")</f>
        <v>[right][img=119]res://textures/icons/P.png[/img]\n[img=119]res://textures/icons/P.png[/img]\n</v>
      </c>
      <c r="V324" s="4" t="str">
        <f>IFERROR(__xludf.DUMMYFUNCTION("SUBSTITUTE(SUBSTITUTE(SUBSTITUTE(SUBSTITUTE(REGEXREPLACE(SUBSTITUTE(SUBSTITUTE(SUBSTITUTE(SUBSTITUTE(REGEXREPLACE(I324, ""(\[([ROYGBPTQUXZC_]|1?[0-9])\])"", ""[img=45]res://textures/icons/$2.png[/img]""),""--"",""—""),""-&gt;"",""•""),""~@"", CONCATENATE(""["&amp;"i]"",REGEXEXTRACT(B324,""^([\s\S]*),|$""),""[/i]"")),""~"", CONCATENATE(""[i]"",B324,""[/i]"")),""(\([\s\S]*?\))"",""[i][color=#34343A]$0[/color][/i]""), ""&lt;"", ""[""), ""&gt;"", ""]""), ""[/p][p]"", ""[font_size=15]\n\n[/font_size]""), ""[br/]"", ""\n"")"),"[center][u]Subterfuge[/u] [i][color=#34343A](Damage dealt by this card, doesn't cause your opponents to draw cards.)[/color][/i][p][i]Evasive Fugitive[/i] can't be intercepted, unless an opponent controls an unexhausted source generator.[/p][/center]")</f>
        <v xml:space="preserve">[center][u]Subterfuge[/u] [i][color=#34343A](Damage dealt by this card, doesn't cause your opponents to draw cards.)[/color][/i][p][i]Evasive Fugitive[/i] can't be intercepted, unless an opponent controls an unexhausted source generator.[/p][/center]</v>
      </c>
      <c r="W324" s="4" t="str">
        <f t="shared" si="21"/>
        <v>[i]Asset[/i]</v>
      </c>
      <c r="X324" s="4" t="str">
        <f t="shared" si="22"/>
        <v>RT_PC_019</v>
      </c>
    </row>
    <row r="325" outlineLevel="1">
      <c r="A325" s="1" t="s">
        <v>1259</v>
      </c>
      <c r="B325" s="4" t="s">
        <v>1260</v>
      </c>
      <c r="C325" s="5" t="s">
        <v>1103</v>
      </c>
      <c r="D325" s="6" t="str">
        <f>IFERROR(__xludf.DUMMYFUNCTION("IF(ISBLANK(A325),"""",SWITCH(IF(T325="""",0,COUNTA(SPLIT(T325,"" ""))),0,""Generic"",1,TRIM(T325),2,""Multicolor"",3,""Multicolor"",4,""Multicolor"",5,""Multicolor"",6,""Multicolor"",7,""Multicolor"",8,""Multicolor""))"),"Purple")</f>
        <v>Purple</v>
      </c>
      <c r="E325" s="4"/>
      <c r="F325" s="4" t="s">
        <v>33</v>
      </c>
      <c r="G325" s="4" t="s">
        <v>1195</v>
      </c>
      <c r="H325" s="5" t="s">
        <v>50</v>
      </c>
      <c r="I325" s="7" t="s">
        <v>1261</v>
      </c>
      <c r="J325" s="3"/>
      <c r="O325" s="3"/>
      <c r="Q325" s="1">
        <v>50</v>
      </c>
      <c r="R325" s="1">
        <v>50</v>
      </c>
      <c r="S325" s="4" t="str">
        <f t="shared" si="20"/>
        <v>False</v>
      </c>
      <c r="T325" s="4" t="str">
        <f>IFERROR(__xludf.DUMMYFUNCTION("CONCATENATE(if(REGEXMATCH(C325,""R""),"" Red"",""""),if(REGEXMATCH(C325,""O""),"" Orange"",""""),if(REGEXMATCH(C325,""Y""),"" Yellow"",""""),if(REGEXMATCH(C325,""G""),"" Green"",""""),if(REGEXMATCH(C325,""B""),"" Blue"",""""),if(REGEXMATCH(C325,""P""),"" "&amp;"Purple"",""""))")," Purple")</f>
        <v>Purple</v>
      </c>
      <c r="U325" s="4" t="str">
        <f>IFERROR(__xludf.DUMMYFUNCTION("TRIM(CONCAT(""[right]"", REGEXREPLACE(C325, ""([ROYGBPXZC_]|1?[0-9])"", ""[img=119]res://textures/icons/$0.png[/img]\\n"")))"),"[right][img=119]res://textures/icons/P.png[/img]\n")</f>
        <v>[right][img=119]res://textures/icons/P.png[/img]\n</v>
      </c>
      <c r="V325" s="4" t="str">
        <f>IFERROR(__xludf.DUMMYFUNCTION("SUBSTITUTE(SUBSTITUTE(SUBSTITUTE(SUBSTITUTE(REGEXREPLACE(SUBSTITUTE(SUBSTITUTE(SUBSTITUTE(SUBSTITUTE(REGEXREPLACE(I325, ""(\[([ROYGBPTQUXZC_]|1?[0-9])\])"", ""[img=45]res://textures/icons/$2.png[/img]""),""--"",""—""),""-&gt;"",""•""),""~@"", CONCATENATE(""["&amp;"i]"",REGEXEXTRACT(B325,""^([\s\S]*),|$""),""[/i]"")),""~"", CONCATENATE(""[i]"",B325,""[/i]"")),""(\([\s\S]*?\))"",""[i][color=#34343A]$0[/color][/i]""), ""&lt;"", ""[""), ""&gt;"", ""]""), ""[/p][p]"", ""[font_size=15]\n\n[/font_size]""), ""[br/]"", ""\n"")"),"[center][u]Advantageous[/u] [i][color=#34343A](When [i]Incremental Attack[/i] resolves, draw a card.)[/color][/i][/center][p][u]Effect Hack[/u] [i][color=#34343A](Choose an effect on the stack; send it to its owner's discard, none of its effects happen.)["&amp;"/color][/i], unless its controller pays [u][img=45]res://textures/icons/X.png[/img][/u] [i][color=#34343A]([img=45]res://textures/icons/X.png[/img] is 1 plus the number of cards named [i]Incremental Attack[/i] that have been deployed this game.)[/color][/"&amp;"i][/p]")</f>
        <v xml:space="preserve">[center][u]Advantageous[/u] [i][color=#34343A](When [i]Incremental Attack[/i] resolves, draw a card.)[/color][/i][/center][p][u]Effect Hack[/u] [i][color=#34343A](Choose an effect on the stack; send it to its owner's discard, none of its effects happen.)[/color][/i], unless its controller pays [u][img=45]res://textures/icons/X.png[/img][/u] [i][color=#34343A]([img=45]res://textures/icons/X.png[/img] is 1 plus the number of cards named [i]Incremental Attack[/i] that have been deployed this game.)[/color][/i][/p]</v>
      </c>
      <c r="W325" s="4" t="str">
        <f t="shared" si="21"/>
        <v>[i]Effect[/i]</v>
      </c>
      <c r="X325" s="4" t="str">
        <f t="shared" si="22"/>
        <v>RT_PC_020</v>
      </c>
    </row>
    <row r="326" outlineLevel="1">
      <c r="A326" s="1" t="s">
        <v>1262</v>
      </c>
      <c r="B326" s="1" t="s">
        <v>1263</v>
      </c>
      <c r="C326" s="2" t="s">
        <v>1103</v>
      </c>
      <c r="D326" s="6" t="str">
        <f>IFERROR(__xludf.DUMMYFUNCTION("IF(EQ(A326,B326),"""",SWITCH(IF(T326="""",0,COUNTA(SPLIT(T326,"" ""))),0,""Generic"",1,TRIM(T326),2,""Multicolor"",3,""Multicolor"",4,""Multicolor"",5,""Multicolor"",6,""Multicolor"",7,""Multicolor"",8,""Multicolor""))"),"Purple")</f>
        <v>Purple</v>
      </c>
      <c r="E326" s="1" t="s">
        <v>51</v>
      </c>
      <c r="F326" s="1" t="s">
        <v>26</v>
      </c>
      <c r="G326" s="1" t="s">
        <v>1264</v>
      </c>
      <c r="H326" s="2" t="s">
        <v>32</v>
      </c>
      <c r="I326" s="7" t="s">
        <v>1265</v>
      </c>
      <c r="J326" s="3"/>
      <c r="K326" s="1">
        <v>3</v>
      </c>
      <c r="L326" s="1">
        <v>1</v>
      </c>
      <c r="O326" s="3"/>
      <c r="Q326" s="1">
        <v>60</v>
      </c>
      <c r="R326" s="1">
        <v>45</v>
      </c>
      <c r="S326" s="4" t="str">
        <f t="shared" si="20"/>
        <v>True</v>
      </c>
      <c r="T326" s="4" t="str">
        <f>IFERROR(__xludf.DUMMYFUNCTION("CONCATENATE(if(REGEXMATCH(C326,""R""),"" Red"",""""),if(REGEXMATCH(C326,""O""),"" Orange"",""""),if(REGEXMATCH(C326,""Y""),"" Yellow"",""""),if(REGEXMATCH(C326,""G""),"" Green"",""""),if(REGEXMATCH(C326,""B""),"" Blue"",""""),if(REGEXMATCH(C326,""P""),"" "&amp;"Purple"",""""))")," Purple")</f>
        <v>Purple</v>
      </c>
      <c r="U326" s="4" t="str">
        <f>IFERROR(__xludf.DUMMYFUNCTION("TRIM(CONCAT(""[right]"", REGEXREPLACE(C326, ""([ROYGBPXZC_]|1?[0-9])"", ""[img=119]res://textures/icons/$0.png[/img]\\n"")))"),"[right][img=119]res://textures/icons/P.png[/img]\n")</f>
        <v>[right][img=119]res://textures/icons/P.png[/img]\n</v>
      </c>
      <c r="V326" s="4" t="str">
        <f>IFERROR(__xludf.DUMMYFUNCTION("SUBSTITUTE(SUBSTITUTE(SUBSTITUTE(SUBSTITUTE(REGEXREPLACE(SUBSTITUTE(SUBSTITUTE(SUBSTITUTE(SUBSTITUTE(REGEXREPLACE(I326, ""(\[([ROYGBPTQUXZC_]|1?[0-9])\])"", ""[img=45]res://textures/icons/$2.png[/img]""),""--"",""—""),""-&gt;"",""•""),""~@"", CONCATENATE(""["&amp;"i]"",REGEXEXTRACT(B326,""^([\s\S]*),|$""),""[/i]"")),""~"", CONCATENATE(""[i]"",B326,""[/i]"")),""(\([\s\S]*?\))"",""[i][color=#34343A]$0[/color][/i]""), ""&lt;"", ""[""), ""&gt;"", ""]""), ""[/p][p]"", ""[font_size=15]\n\n[/font_size]""), ""[br/]"", ""\n"")"),"[center][u]Hacker[/u] [i][color=#34343A](If [i]Skiddy[/i] would deal damage to a commander, its owner instead puts that many cards from their deck into their discard.)[/color][/i][/center]")</f>
        <v xml:space="preserve">[center][u]Hacker[/u] [i][color=#34343A](If [i]Skiddy[/i] would deal damage to a commander, its owner instead puts that many cards from their deck into their discard.)[/color][/i][/center]</v>
      </c>
      <c r="W326" s="4" t="str">
        <f t="shared" si="21"/>
        <v>[i]Asset[/i]</v>
      </c>
      <c r="X326" s="4" t="str">
        <f t="shared" si="22"/>
        <v>RT_PC_021</v>
      </c>
    </row>
    <row r="327" outlineLevel="1">
      <c r="A327" s="1" t="s">
        <v>1266</v>
      </c>
      <c r="B327" s="4" t="s">
        <v>1267</v>
      </c>
      <c r="C327" s="5" t="s">
        <v>1103</v>
      </c>
      <c r="D327" s="6" t="str">
        <f>IFERROR(__xludf.DUMMYFUNCTION("IF(EQ(A327,B327),"""",SWITCH(IF(T327="""",0,COUNTA(SPLIT(T327,"" ""))),0,""Generic"",1,TRIM(T327),2,""Multicolor"",3,""Multicolor"",4,""Multicolor"",5,""Multicolor"",6,""Multicolor"",7,""Multicolor"",8,""Multicolor""))"),"Purple")</f>
        <v>Purple</v>
      </c>
      <c r="E327" s="4" t="s">
        <v>51</v>
      </c>
      <c r="F327" s="4" t="s">
        <v>26</v>
      </c>
      <c r="G327" s="4" t="s">
        <v>1268</v>
      </c>
      <c r="H327" s="5" t="s">
        <v>32</v>
      </c>
      <c r="I327" s="3" t="s">
        <v>1269</v>
      </c>
      <c r="J327" s="3"/>
      <c r="K327" s="1">
        <v>0</v>
      </c>
      <c r="L327" s="1">
        <v>1</v>
      </c>
      <c r="O327" s="3"/>
      <c r="Q327" s="1">
        <v>60</v>
      </c>
      <c r="R327" s="1">
        <v>45</v>
      </c>
      <c r="S327" s="4" t="str">
        <f t="shared" si="20"/>
        <v>True</v>
      </c>
      <c r="T327" s="4" t="str">
        <f>IFERROR(__xludf.DUMMYFUNCTION("CONCATENATE(if(REGEXMATCH(C327,""R""),"" Red"",""""),if(REGEXMATCH(C327,""O""),"" Orange"",""""),if(REGEXMATCH(C327,""Y""),"" Yellow"",""""),if(REGEXMATCH(C327,""G""),"" Green"",""""),if(REGEXMATCH(C327,""B""),"" Blue"",""""),if(REGEXMATCH(C327,""P""),"" "&amp;"Purple"",""""))")," Purple")</f>
        <v>Purple</v>
      </c>
      <c r="U327" s="4" t="str">
        <f>IFERROR(__xludf.DUMMYFUNCTION("TRIM(CONCAT(""[right]"", REGEXREPLACE(C327, ""([ROYGBPXZC_]|1?[0-9])"", ""[img=119]res://textures/icons/$0.png[/img]\\n"")))"),"[right][img=119]res://textures/icons/P.png[/img]\n")</f>
        <v>[right][img=119]res://textures/icons/P.png[/img]\n</v>
      </c>
      <c r="V327" s="4" t="str">
        <f>IFERROR(__xludf.DUMMYFUNCTION("SUBSTITUTE(SUBSTITUTE(SUBSTITUTE(SUBSTITUTE(REGEXREPLACE(SUBSTITUTE(SUBSTITUTE(SUBSTITUTE(SUBSTITUTE(REGEXREPLACE(I327, ""(\[([ROYGBPTQUXZC_]|1?[0-9])\])"", ""[img=45]res://textures/icons/$2.png[/img]""),""--"",""—""),""-&gt;"",""•""),""~@"", CONCATENATE(""["&amp;"i]"",REGEXEXTRACT(B327,""^([\s\S]*),|$""),""[/i]"")),""~"", CONCATENATE(""[i]"",B327,""[/i]"")),""(\([\s\S]*?\))"",""[i][color=#34343A]$0[/color][/i]""), ""&lt;"", ""[""), ""&gt;"", ""]""), ""[/p][p]"", ""[font_size=15]\n\n[/font_size]""), ""[br/]"", ""\n"")"),"[center]Each player's maximum hand size is reduced by 1.[/center]")</f>
        <v xml:space="preserve">[center]Each player's maximum hand size is reduced by 1.[/center]</v>
      </c>
      <c r="W327" s="4" t="str">
        <f t="shared" si="21"/>
        <v>[i]Asset[/i]</v>
      </c>
      <c r="X327" s="4" t="str">
        <f t="shared" si="22"/>
        <v>RT_PC_022</v>
      </c>
    </row>
    <row r="328" outlineLevel="1">
      <c r="A328" s="1" t="s">
        <v>1270</v>
      </c>
      <c r="B328" s="1" t="str">
        <f t="shared" si="19"/>
        <v>PC_023</v>
      </c>
      <c r="C328" s="2"/>
      <c r="D328" s="6" t="str">
        <f>IFERROR(__xludf.DUMMYFUNCTION("IF(EQ(A328,B328),"""",SWITCH(IF(T328="""",0,COUNTA(SPLIT(T328,"" ""))),0,""Generic"",1,TRIM(T328),2,""Multicolor"",3,""Multicolor"",4,""Multicolor"",5,""Multicolor"",6,""Multicolor"",7,""Multicolor"",8,""Multicolor""))"),"")</f>
        <v/>
      </c>
      <c r="E328" s="1"/>
      <c r="F328" s="1"/>
      <c r="H328" s="2"/>
      <c r="I328" s="7"/>
      <c r="J328" s="3"/>
      <c r="O328" s="3"/>
      <c r="Q328" s="1">
        <v>60</v>
      </c>
      <c r="R328" s="1">
        <v>50</v>
      </c>
      <c r="S328" s="4" t="str">
        <f t="shared" si="20"/>
        <v>False</v>
      </c>
      <c r="T328" s="4" t="str">
        <f>IFERROR(__xludf.DUMMYFUNCTION("CONCATENATE(if(REGEXMATCH(C328,""R""),"" Red"",""""),if(REGEXMATCH(C328,""O""),"" Orange"",""""),if(REGEXMATCH(C328,""Y""),"" Yellow"",""""),if(REGEXMATCH(C328,""G""),"" Green"",""""),if(REGEXMATCH(C328,""B""),"" Blue"",""""),if(REGEXMATCH(C328,""P""),"" "&amp;"Purple"",""""))"),"")</f>
        <v/>
      </c>
      <c r="U328" s="4" t="str">
        <f>IFERROR(__xludf.DUMMYFUNCTION("TRIM(CONCAT(""[right]"", REGEXREPLACE(C328, ""([ROYGBPXZC_]|1?[0-9])"", ""[img=119]res://textures/icons/$0.png[/img]\\n"")))"),"[right]")</f>
        <v>[right]</v>
      </c>
      <c r="V328" s="4" t="str">
        <f>IFERROR(__xludf.DUMMYFUNCTION("SUBSTITUTE(SUBSTITUTE(SUBSTITUTE(SUBSTITUTE(REGEXREPLACE(SUBSTITUTE(SUBSTITUTE(SUBSTITUTE(SUBSTITUTE(REGEXREPLACE(I328, ""(\[([ROYGBPTQUXZC_]|1?[0-9])\])"", ""[img=45]res://textures/icons/$2.png[/img]""),""--"",""—""),""-&gt;"",""•""),""~@"", CONCATENATE(""["&amp;"i]"",REGEXEXTRACT(B328,""^([\s\S]*),|$""),""[/i]"")),""~"", CONCATENATE(""[i]"",B328,""[/i]"")),""(\([\s\S]*?\))"",""[i][color=#34343A]$0[/color][/i]""), ""&lt;"", ""[""), ""&gt;"", ""]""), ""[/p][p]"", ""[font_size=15]\n\n[/font_size]""), ""[br/]"", ""\n"")"),"")</f>
        <v/>
      </c>
      <c r="W328" s="4" t="str">
        <f t="shared" si="21"/>
        <v>[i][/i]</v>
      </c>
      <c r="X328" s="4" t="str">
        <f t="shared" si="22"/>
        <v>0</v>
      </c>
    </row>
    <row r="329" outlineLevel="1">
      <c r="A329" s="1" t="s">
        <v>1271</v>
      </c>
      <c r="B329" s="1" t="str">
        <f t="shared" si="19"/>
        <v>PC_024</v>
      </c>
      <c r="C329" s="2"/>
      <c r="D329" s="6" t="str">
        <f>IFERROR(__xludf.DUMMYFUNCTION("IF(EQ(A329,B329),"""",SWITCH(IF(T329="""",0,COUNTA(SPLIT(T329,"" ""))),0,""Generic"",1,TRIM(T329),2,""Multicolor"",3,""Multicolor"",4,""Multicolor"",5,""Multicolor"",6,""Multicolor"",7,""Multicolor"",8,""Multicolor""))"),"")</f>
        <v/>
      </c>
      <c r="E329" s="1"/>
      <c r="F329" s="1"/>
      <c r="H329" s="2"/>
      <c r="I329" s="3"/>
      <c r="J329" s="3"/>
      <c r="O329" s="3"/>
      <c r="Q329" s="1">
        <v>60</v>
      </c>
      <c r="R329" s="1">
        <v>50</v>
      </c>
      <c r="S329" s="4" t="str">
        <f t="shared" si="20"/>
        <v>False</v>
      </c>
      <c r="T329" s="4" t="str">
        <f>IFERROR(__xludf.DUMMYFUNCTION("CONCATENATE(if(REGEXMATCH(C329,""R""),"" Red"",""""),if(REGEXMATCH(C329,""O""),"" Orange"",""""),if(REGEXMATCH(C329,""Y""),"" Yellow"",""""),if(REGEXMATCH(C329,""G""),"" Green"",""""),if(REGEXMATCH(C329,""B""),"" Blue"",""""),if(REGEXMATCH(C329,""P""),"" "&amp;"Purple"",""""))"),"")</f>
        <v/>
      </c>
      <c r="U329" s="4" t="str">
        <f>IFERROR(__xludf.DUMMYFUNCTION("TRIM(CONCAT(""[right]"", REGEXREPLACE(C329, ""([ROYGBPXZC_]|1?[0-9])"", ""[img=119]res://textures/icons/$0.png[/img]\\n"")))"),"[right]")</f>
        <v>[right]</v>
      </c>
      <c r="V329" s="4" t="str">
        <f>IFERROR(__xludf.DUMMYFUNCTION("SUBSTITUTE(SUBSTITUTE(SUBSTITUTE(SUBSTITUTE(REGEXREPLACE(SUBSTITUTE(SUBSTITUTE(SUBSTITUTE(SUBSTITUTE(REGEXREPLACE(I329, ""(\[([ROYGBPTQUXZC_]|1?[0-9])\])"", ""[img=45]res://textures/icons/$2.png[/img]""),""--"",""—""),""-&gt;"",""•""),""~@"", CONCATENATE(""["&amp;"i]"",REGEXEXTRACT(B329,""^([\s\S]*),|$""),""[/i]"")),""~"", CONCATENATE(""[i]"",B329,""[/i]"")),""(\([\s\S]*?\))"",""[i][color=#34343A]$0[/color][/i]""), ""&lt;"", ""[""), ""&gt;"", ""]""), ""[/p][p]"", ""[font_size=15]\n\n[/font_size]""), ""[br/]"", ""\n"")"),"")</f>
        <v/>
      </c>
      <c r="W329" s="4" t="str">
        <f t="shared" si="21"/>
        <v>[i][/i]</v>
      </c>
      <c r="X329" s="4" t="str">
        <f t="shared" si="22"/>
        <v>0</v>
      </c>
    </row>
    <row r="330">
      <c r="A330" s="4" t="s">
        <v>1272</v>
      </c>
      <c r="B330" s="4" t="s">
        <v>1273</v>
      </c>
      <c r="C330" s="5" t="s">
        <v>320</v>
      </c>
      <c r="D330" s="6" t="s">
        <v>1274</v>
      </c>
      <c r="E330" s="4"/>
      <c r="F330" s="4" t="s">
        <v>724</v>
      </c>
      <c r="G330" s="4" t="s">
        <v>1275</v>
      </c>
      <c r="H330" s="5" t="s">
        <v>25</v>
      </c>
      <c r="I330" s="3" t="s">
        <v>1276</v>
      </c>
      <c r="J330" s="4"/>
      <c r="K330" s="4" t="s">
        <v>29</v>
      </c>
      <c r="L330" s="4" t="s">
        <v>29</v>
      </c>
      <c r="M330" s="4"/>
      <c r="N330" s="4"/>
      <c r="O330" s="4"/>
      <c r="P330" s="4"/>
      <c r="Q330" s="8">
        <v>45</v>
      </c>
      <c r="R330" s="8">
        <v>35</v>
      </c>
      <c r="S330" s="4" t="str">
        <f t="shared" si="20"/>
        <v>False</v>
      </c>
      <c r="T330" s="4" t="s">
        <v>1274</v>
      </c>
      <c r="U330" s="4" t="str">
        <f>IFERROR(__xludf.DUMMYFUNCTION("TRIM(CONCAT(""[right]"", REGEXREPLACE(C330, ""([ROYGBPXZC_]|1?[0-9])"", ""[img=119]res://textures/icons/$0.png[/img]\\n"")))"),"[right]")</f>
        <v>[right]</v>
      </c>
      <c r="V330" s="4" t="str">
        <f>IFERROR(__xludf.DUMMYFUNCTION("SUBSTITUTE(SUBSTITUTE(SUBSTITUTE(SUBSTITUTE(REGEXREPLACE(SUBSTITUTE(SUBSTITUTE(SUBSTITUTE(SUBSTITUTE(REGEXREPLACE(I330, ""(\[([ROYGBPTQUXZC_]|1?[0-9])\])"", ""[img=45]res://textures/icons/$2.png[/img]""),""--"",""—""),""-&gt;"",""•""),""~@"", CONCATENATE(""["&amp;"i]"",REGEXEXTRACT(B330,""^([\s\S]*),|$""),""[/i]"")),""~"", CONCATENATE(""[i]"",B330,""[/i]"")),""(\([\s\S]*?\))"",""[i][color=#34343A]$0[/color][/i]""), ""&lt;"", ""[""), ""&gt;"", ""]""), ""[/p][p]"", ""[font_size=15]\n\n[/font_size]""), ""[br/]"", ""\n"")"),"[center][i][color=#34343A](Generators are not assets or effects. You may only play [i]ProtoSys Laboratory[/i] whenever you have the option to hire a generator, instead of hiring any other card as a generator. [b]A deck may have any number of [i]ProtoSys L"&amp;"aboratory[/i]s in it.[/b])[/color][/i]\n[u]Quick Hire[/u] [i][color=#34343A](When [i]ProtoSys Laboratory[/i] is hired as a generator, it can exhaust as soon as it is hired.)[/color][/i][/center][p][img=45]res://textures/icons/T.png[/img]: Add [img=45]res:"&amp;"//textures/icons/R.png[/img].[/p]")</f>
        <v xml:space="preserve">[center][i][color=#34343A](Generators are not assets or effects. You may only play [i]ProtoSys Laboratory[/i] whenever you have the option to hire a generator, instead of hiring any other card as a generator. [b]A deck may have any number of [i]ProtoSys Laboratory[/i]s in it.[/b])[/color][/i]\n[u]Quick Hire[/u] [i][color=#34343A](When [i]ProtoSys Laboratory[/i] is hired as a generator, it can exhaust as soon as it is hired.)[/color][/i][/center][p][img=45]res://textures/icons/T.png[/img]: Add [img=45]res://textures/icons/R.png[/img].[/p]</v>
      </c>
      <c r="W330" s="4" t="str">
        <f t="shared" si="21"/>
        <v>[i]Generator[/i]</v>
      </c>
      <c r="X330" s="4" t="str">
        <f t="shared" si="22"/>
        <v>RT_RBG</v>
      </c>
      <c r="Y330" s="4"/>
      <c r="Z330" s="4"/>
      <c r="AA330" s="4"/>
      <c r="AB330" s="4"/>
    </row>
    <row r="331">
      <c r="A331" s="4" t="s">
        <v>1277</v>
      </c>
      <c r="B331" s="4" t="s">
        <v>1278</v>
      </c>
      <c r="C331" s="5" t="s">
        <v>320</v>
      </c>
      <c r="D331" s="6" t="s">
        <v>431</v>
      </c>
      <c r="E331" s="4"/>
      <c r="F331" s="4" t="s">
        <v>724</v>
      </c>
      <c r="G331" s="4" t="s">
        <v>1279</v>
      </c>
      <c r="H331" s="5" t="s">
        <v>25</v>
      </c>
      <c r="I331" s="7" t="s">
        <v>1280</v>
      </c>
      <c r="J331" s="4"/>
      <c r="K331" s="4" t="s">
        <v>29</v>
      </c>
      <c r="L331" s="4" t="s">
        <v>29</v>
      </c>
      <c r="M331" s="4"/>
      <c r="N331" s="4"/>
      <c r="O331" s="4"/>
      <c r="P331" s="4"/>
      <c r="Q331" s="8">
        <v>60</v>
      </c>
      <c r="R331" s="8">
        <v>50</v>
      </c>
      <c r="S331" s="4" t="str">
        <f t="shared" si="20"/>
        <v>False</v>
      </c>
      <c r="T331" s="4" t="s">
        <v>431</v>
      </c>
      <c r="U331" s="4" t="str">
        <f>IFERROR(__xludf.DUMMYFUNCTION("TRIM(CONCAT(""[right]"", REGEXREPLACE(C331, ""([ROYGBPXZC_]|1?[0-9])"", ""[img=119]res://textures/icons/$0.png[/img]\\n"")))"),"[right]")</f>
        <v>[right]</v>
      </c>
      <c r="V331" s="4" t="str">
        <f>IFERROR(__xludf.DUMMYFUNCTION("SUBSTITUTE(SUBSTITUTE(SUBSTITUTE(SUBSTITUTE(REGEXREPLACE(SUBSTITUTE(SUBSTITUTE(SUBSTITUTE(SUBSTITUTE(REGEXREPLACE(I331, ""(\[([ROYGBPTQUXZC_]|1?[0-9])\])"", ""[img=45]res://textures/icons/$2.png[/img]""),""--"",""—""),""-&gt;"",""•""),""~@"", CONCATENATE(""["&amp;"i]"",REGEXEXTRACT(B331,""^([\s\S]*),|$""),""[/i]"")),""~"", CONCATENATE(""[i]"",B331,""[/i]"")),""(\([\s\S]*?\))"",""[i][color=#34343A]$0[/color][/i]""), ""&lt;"", ""[""), ""&gt;"", ""]""), ""[/p][p]"", ""[font_size=15]\n\n[/font_size]""), ""[br/]"", ""\n"")"),"[center][i][color=#34343A](Generators are not assets or effects. You may only play [i]City Slums[/i] whenever you have the option to hire a generator, instead of hiring any other card as a generator. [b]A deck may have any number of [i]City Slums[/i] in i"&amp;"t.[/b])[/color][/i]\n[u]Quick Hire[/u] [i][color=#34343A](When [i]City Slums[/i] is hired as a generator, it can exhaust as soon as it is hired.)[/color][/i][/center][p][img=45]res://textures/icons/T.png[/img]: Add [img=45]res://textures/icons/O.png[/img]"&amp;".[/p]")</f>
        <v xml:space="preserve">[center][i][color=#34343A](Generators are not assets or effects. You may only play [i]City Slums[/i] whenever you have the option to hire a generator, instead of hiring any other card as a generator. [b]A deck may have any number of [i]City Slums[/i] in it.[/b])[/color][/i]\n[u]Quick Hire[/u] [i][color=#34343A](When [i]City Slums[/i] is hired as a generator, it can exhaust as soon as it is hired.)[/color][/i][/center][p][img=45]res://textures/icons/T.png[/img]: Add [img=45]res://textures/icons/O.png[/img].[/p]</v>
      </c>
      <c r="W331" s="4" t="str">
        <f t="shared" si="21"/>
        <v>[i]Generator[/i]</v>
      </c>
      <c r="X331" s="4" t="str">
        <f t="shared" si="22"/>
        <v>RT_OBG</v>
      </c>
      <c r="Y331" s="4"/>
      <c r="Z331" s="4"/>
      <c r="AA331" s="4"/>
      <c r="AB331" s="4"/>
    </row>
    <row r="332">
      <c r="A332" s="4" t="s">
        <v>1281</v>
      </c>
      <c r="B332" s="4" t="s">
        <v>1282</v>
      </c>
      <c r="C332" s="5" t="s">
        <v>320</v>
      </c>
      <c r="D332" s="6" t="s">
        <v>498</v>
      </c>
      <c r="E332" s="4"/>
      <c r="F332" s="4" t="s">
        <v>724</v>
      </c>
      <c r="G332" s="4" t="s">
        <v>281</v>
      </c>
      <c r="H332" s="5" t="s">
        <v>25</v>
      </c>
      <c r="I332" s="7" t="s">
        <v>1283</v>
      </c>
      <c r="J332" s="4"/>
      <c r="K332" s="4" t="s">
        <v>29</v>
      </c>
      <c r="L332" s="4" t="s">
        <v>29</v>
      </c>
      <c r="M332" s="4"/>
      <c r="N332" s="4"/>
      <c r="O332" s="4"/>
      <c r="P332" s="4"/>
      <c r="Q332" s="8">
        <v>40</v>
      </c>
      <c r="R332" s="8">
        <v>50</v>
      </c>
      <c r="S332" s="4" t="str">
        <f t="shared" si="20"/>
        <v>False</v>
      </c>
      <c r="T332" s="4" t="s">
        <v>498</v>
      </c>
      <c r="U332" s="4" t="str">
        <f>IFERROR(__xludf.DUMMYFUNCTION("TRIM(CONCAT(""[right]"", REGEXREPLACE(C332, ""([ROYGBPXZC_]|1?[0-9])"", ""[img=119]res://textures/icons/$0.png[/img]\\n"")))"),"[right]")</f>
        <v>[right]</v>
      </c>
      <c r="V332" s="4" t="str">
        <f>IFERROR(__xludf.DUMMYFUNCTION("SUBSTITUTE(SUBSTITUTE(SUBSTITUTE(SUBSTITUTE(REGEXREPLACE(SUBSTITUTE(SUBSTITUTE(SUBSTITUTE(SUBSTITUTE(REGEXREPLACE(I332, ""(\[([ROYGBPTQUXZC_]|1?[0-9])\])"", ""[img=45]res://textures/icons/$2.png[/img]""),""--"",""—""),""-&gt;"",""•""),""~@"", CONCATENATE(""["&amp;"i]"",REGEXEXTRACT(B332,""^([\s\S]*),|$""),""[/i]"")),""~"", CONCATENATE(""[i]"",B332,""[/i]"")),""(\([\s\S]*?\))"",""[i][color=#34343A]$0[/color][/i]""), ""&lt;"", ""[""), ""&gt;"", ""]""), ""[/p][p]"", ""[font_size=15]\n\n[/font_size]""), ""[br/]"", ""\n"")"),"[center][i][color=#34343A](Generators are not assets or effects. You may only play [i]Lunar Colony Control Outpost[/i] whenever you have the option to hire a generator, instead of hiring any other card as a generator. [b]A deck may have any number of [i]L"&amp;"unar Colony Control Outpost[/i]s in it.[/b])[/color][/i]\n[u]Quick Hire[/u] [i][color=#34343A](When [i]Lunar Colony Control Outpost[/i] is hired as a generator, it can exhaust as soon as it is hired.)[/color][/i][/center][p][img=45]res://textures/icons/T."&amp;"png[/img]: Add [img=45]res://textures/icons/Y.png[/img].[/p]")</f>
        <v xml:space="preserve">[center][i][color=#34343A](Generators are not assets or effects. You may only play [i]Lunar Colony Control Outpost[/i] whenever you have the option to hire a generator, instead of hiring any other card as a generator. [b]A deck may have any number of [i]Lunar Colony Control Outpost[/i]s in it.[/b])[/color][/i]\n[u]Quick Hire[/u] [i][color=#34343A](When [i]Lunar Colony Control Outpost[/i] is hired as a generator, it can exhaust as soon as it is hired.)[/color][/i][/center][p][img=45]res://textures/icons/T.png[/img]: Add [img=45]res://textures/icons/Y.png[/img].[/p]</v>
      </c>
      <c r="W332" s="4" t="str">
        <f t="shared" si="21"/>
        <v>[i]Generator[/i]</v>
      </c>
      <c r="X332" s="4" t="str">
        <f t="shared" si="22"/>
        <v>RT_YBG</v>
      </c>
      <c r="Y332" s="4"/>
      <c r="Z332" s="4"/>
      <c r="AA332" s="4"/>
      <c r="AB332" s="4"/>
    </row>
    <row r="333">
      <c r="A333" s="4" t="s">
        <v>1284</v>
      </c>
      <c r="B333" s="4" t="s">
        <v>1285</v>
      </c>
      <c r="C333" s="5" t="s">
        <v>320</v>
      </c>
      <c r="D333" s="6" t="s">
        <v>723</v>
      </c>
      <c r="E333" s="4"/>
      <c r="F333" s="4" t="s">
        <v>724</v>
      </c>
      <c r="G333" s="4" t="s">
        <v>1286</v>
      </c>
      <c r="H333" s="5" t="s">
        <v>25</v>
      </c>
      <c r="I333" s="7" t="s">
        <v>1287</v>
      </c>
      <c r="J333" s="4"/>
      <c r="K333" s="4" t="s">
        <v>29</v>
      </c>
      <c r="L333" s="4" t="s">
        <v>29</v>
      </c>
      <c r="M333" s="4"/>
      <c r="N333" s="4"/>
      <c r="O333" s="4"/>
      <c r="P333" s="4"/>
      <c r="Q333" s="8">
        <v>50</v>
      </c>
      <c r="R333" s="8">
        <v>35</v>
      </c>
      <c r="S333" s="4" t="str">
        <f t="shared" si="20"/>
        <v>False</v>
      </c>
      <c r="T333" s="4" t="s">
        <v>723</v>
      </c>
      <c r="U333" s="4" t="str">
        <f>IFERROR(__xludf.DUMMYFUNCTION("TRIM(CONCAT(""[right]"", REGEXREPLACE(C333, ""([ROYGBPXZC_]|1?[0-9])"", ""[img=119]res://textures/icons/$0.png[/img]\\n"")))"),"[right]")</f>
        <v>[right]</v>
      </c>
      <c r="V333" s="4" t="str">
        <f>IFERROR(__xludf.DUMMYFUNCTION("SUBSTITUTE(SUBSTITUTE(SUBSTITUTE(SUBSTITUTE(REGEXREPLACE(SUBSTITUTE(SUBSTITUTE(SUBSTITUTE(SUBSTITUTE(REGEXREPLACE(I333, ""(\[([ROYGBPTQUXZC_]|1?[0-9])\])"", ""[img=45]res://textures/icons/$2.png[/img]""),""--"",""—""),""-&gt;"",""•""),""~@"", CONCATENATE(""["&amp;"i]"",REGEXEXTRACT(B333,""^([\s\S]*),|$""),""[/i]"")),""~"", CONCATENATE(""[i]"",B333,""[/i]"")),""(\([\s\S]*?\))"",""[i][color=#34343A]$0[/color][/i]""), ""&lt;"", ""[""), ""&gt;"", ""]""), ""[/p][p]"", ""[font_size=15]\n\n[/font_size]""), ""[br/]"", ""\n"")"),"[center][i][color=#34343A](Generators are not assets or effects. You may only play [i]Agricultural Tower[/i] whenever you have the option to hire a generator, instead of hiring any other card as a generator. [b]A deck may have any number of [i]Agricultura"&amp;"l Tower[/i]s in it.[/b])[/color][/i]\n[u]Quick Hire[/u] [i][color=#34343A](When [i]Agricultural Tower[/i] is hired as a generator, it can exhaust as soon as it is hired.)[/color][/i][/center][p][img=45]res://textures/icons/T.png[/img]: Add [img=45]res://t"&amp;"extures/icons/G.png[/img].[/p]")</f>
        <v xml:space="preserve">[center][i][color=#34343A](Generators are not assets or effects. You may only play [i]Agricultural Tower[/i] whenever you have the option to hire a generator, instead of hiring any other card as a generator. [b]A deck may have any number of [i]Agricultural Tower[/i]s in it.[/b])[/color][/i]\n[u]Quick Hire[/u] [i][color=#34343A](When [i]Agricultural Tower[/i] is hired as a generator, it can exhaust as soon as it is hired.)[/color][/i][/center][p][img=45]res://textures/icons/T.png[/img]: Add [img=45]res://textures/icons/G.png[/img].[/p]</v>
      </c>
      <c r="W333" s="4" t="str">
        <f t="shared" si="21"/>
        <v>[i]Generator[/i]</v>
      </c>
      <c r="X333" s="4" t="str">
        <f t="shared" si="22"/>
        <v>RT_GBG</v>
      </c>
      <c r="Y333" s="4"/>
      <c r="Z333" s="4"/>
      <c r="AA333" s="4"/>
      <c r="AB333" s="4"/>
    </row>
    <row r="334">
      <c r="A334" s="4" t="s">
        <v>1288</v>
      </c>
      <c r="B334" s="4" t="s">
        <v>1289</v>
      </c>
      <c r="C334" s="5" t="s">
        <v>320</v>
      </c>
      <c r="D334" s="6" t="s">
        <v>1041</v>
      </c>
      <c r="E334" s="4"/>
      <c r="F334" s="4" t="s">
        <v>724</v>
      </c>
      <c r="G334" s="4" t="s">
        <v>1290</v>
      </c>
      <c r="H334" s="5" t="s">
        <v>25</v>
      </c>
      <c r="I334" s="7" t="s">
        <v>1291</v>
      </c>
      <c r="J334" s="4"/>
      <c r="K334" s="4" t="s">
        <v>29</v>
      </c>
      <c r="L334" s="4" t="s">
        <v>29</v>
      </c>
      <c r="M334" s="4"/>
      <c r="N334" s="4"/>
      <c r="O334" s="4"/>
      <c r="P334" s="4"/>
      <c r="Q334" s="8">
        <v>45</v>
      </c>
      <c r="R334" s="8">
        <v>50</v>
      </c>
      <c r="S334" s="4" t="str">
        <f t="shared" si="20"/>
        <v>False</v>
      </c>
      <c r="T334" s="4" t="s">
        <v>1041</v>
      </c>
      <c r="U334" s="4" t="str">
        <f>IFERROR(__xludf.DUMMYFUNCTION("TRIM(CONCAT(""[right]"", REGEXREPLACE(C334, ""([ROYGBPXZC_]|1?[0-9])"", ""[img=119]res://textures/icons/$0.png[/img]\\n"")))"),"[right]")</f>
        <v>[right]</v>
      </c>
      <c r="V334" s="4" t="str">
        <f>IFERROR(__xludf.DUMMYFUNCTION("SUBSTITUTE(SUBSTITUTE(SUBSTITUTE(SUBSTITUTE(REGEXREPLACE(SUBSTITUTE(SUBSTITUTE(SUBSTITUTE(SUBSTITUTE(REGEXREPLACE(I334, ""(\[([ROYGBPTQUXZC_]|1?[0-9])\])"", ""[img=45]res://textures/icons/$2.png[/img]""),""--"",""—""),""-&gt;"",""•""),""~@"", CONCATENATE(""["&amp;"i]"",REGEXEXTRACT(B334,""^([\s\S]*),|$""),""[/i]"")),""~"", CONCATENATE(""[i]"",B334,""[/i]"")),""(\([\s\S]*?\))"",""[i][color=#34343A]$0[/color][/i]""), ""&lt;"", ""[""), ""&gt;"", ""]""), ""[/p][p]"", ""[font_size=15]\n\n[/font_size]""), ""[br/]"", ""\n"")"),"[center][i][color=#34343A](Generators are not assets or effects. You may only play [i]Precinct Headquarters[/i] whenever you have the option to hire a generator, instead of hiring any other card as a generator. [b]A deck may have any number of [i]Precinct"&amp;" Headquarters[/i] in it.[/b])[/color][/i]\n[u]Quick Hire[/u] [i][color=#34343A](When [i]Precinct Headquarters[/i] is hired as a generator, it can exhaust as soon as it is hired.)[/color][/i][/center][p][img=45]res://textures/icons/T.png[/img]: Add [img=45"&amp;"]res://textures/icons/B.png[/img].[/p]")</f>
        <v xml:space="preserve">[center][i][color=#34343A](Generators are not assets or effects. You may only play [i]Precinct Headquarters[/i] whenever you have the option to hire a generator, instead of hiring any other card as a generator. [b]A deck may have any number of [i]Precinct Headquarters[/i] in it.[/b])[/color][/i]\n[u]Quick Hire[/u] [i][color=#34343A](When [i]Precinct Headquarters[/i] is hired as a generator, it can exhaust as soon as it is hired.)[/color][/i][/center][p][img=45]res://textures/icons/T.png[/img]: Add [img=45]res://textures/icons/B.png[/img].[/p]</v>
      </c>
      <c r="W334" s="4" t="str">
        <f t="shared" si="21"/>
        <v>[i]Generator[/i]</v>
      </c>
      <c r="X334" s="4" t="str">
        <f t="shared" si="22"/>
        <v>RT_BBG</v>
      </c>
      <c r="Y334" s="4"/>
      <c r="Z334" s="4"/>
      <c r="AA334" s="4"/>
      <c r="AB334" s="4"/>
    </row>
    <row r="335">
      <c r="A335" s="4" t="s">
        <v>1292</v>
      </c>
      <c r="B335" s="4" t="s">
        <v>1293</v>
      </c>
      <c r="C335" s="5" t="s">
        <v>320</v>
      </c>
      <c r="D335" s="6" t="s">
        <v>1294</v>
      </c>
      <c r="E335" s="4"/>
      <c r="F335" s="4" t="s">
        <v>724</v>
      </c>
      <c r="G335" s="4" t="s">
        <v>1295</v>
      </c>
      <c r="H335" s="5" t="s">
        <v>25</v>
      </c>
      <c r="I335" s="7" t="s">
        <v>1296</v>
      </c>
      <c r="J335" s="4"/>
      <c r="K335" s="4" t="s">
        <v>29</v>
      </c>
      <c r="L335" s="4" t="s">
        <v>29</v>
      </c>
      <c r="M335" s="4"/>
      <c r="N335" s="4"/>
      <c r="O335" s="4"/>
      <c r="P335" s="4"/>
      <c r="Q335" s="8">
        <v>45</v>
      </c>
      <c r="R335" s="8">
        <v>50</v>
      </c>
      <c r="S335" s="4" t="str">
        <f t="shared" si="20"/>
        <v>False</v>
      </c>
      <c r="T335" s="4" t="s">
        <v>1294</v>
      </c>
      <c r="U335" s="4" t="str">
        <f>IFERROR(__xludf.DUMMYFUNCTION("TRIM(CONCAT(""[right]"", REGEXREPLACE(C335, ""([ROYGBPXZC_]|1?[0-9])"", ""[img=119]res://textures/icons/$0.png[/img]\\n"")))"),"[right]")</f>
        <v>[right]</v>
      </c>
      <c r="V335" s="4" t="str">
        <f>IFERROR(__xludf.DUMMYFUNCTION("SUBSTITUTE(SUBSTITUTE(SUBSTITUTE(SUBSTITUTE(REGEXREPLACE(SUBSTITUTE(SUBSTITUTE(SUBSTITUTE(SUBSTITUTE(REGEXREPLACE(I335, ""(\[([ROYGBPTQUXZC_]|1?[0-9])\])"", ""[img=45]res://textures/icons/$2.png[/img]""),""--"",""—""),""-&gt;"",""•""),""~@"", CONCATENATE(""["&amp;"i]"",REGEXEXTRACT(B335,""^([\s\S]*),|$""),""[/i]"")),""~"", CONCATENATE(""[i]"",B335,""[/i]"")),""(\([\s\S]*?\))"",""[i][color=#34343A]$0[/color][/i]""), ""&lt;"", ""[""), ""&gt;"", ""]""), ""[/p][p]"", ""[font_size=15]\n\n[/font_size]""), ""[br/]"", ""\n"")"),"[center][i][color=#34343A](Generators are not assets or effects. You may only play [i]Stargate Project Office[/i] whenever you have the option to hire a generator, instead of hiring any other card as a generator. [b]A deck may have any number of [i]Starga"&amp;"te Project Office[/i]s in it.[/b])[/color][/i]\n[u]Quick Hire[/u] [i][color=#34343A](When [i]Stargate Project Office[/i] is hired as a generator, it can exhaust as soon as it is hired.)[/color][/i][/center][p][img=45]res://textures/icons/T.png[/img]: Add "&amp;"[img=45]res://textures/icons/P.png[/img].[/p]")</f>
        <v xml:space="preserve">[center][i][color=#34343A](Generators are not assets or effects. You may only play [i]Stargate Project Office[/i] whenever you have the option to hire a generator, instead of hiring any other card as a generator. [b]A deck may have any number of [i]Stargate Project Office[/i]s in it.[/b])[/color][/i]\n[u]Quick Hire[/u] [i][color=#34343A](When [i]Stargate Project Office[/i] is hired as a generator, it can exhaust as soon as it is hired.)[/color][/i][/center][p][img=45]res://textures/icons/T.png[/img]: Add [img=45]res://textures/icons/P.png[/img].[/p]</v>
      </c>
      <c r="W335" s="4" t="str">
        <f t="shared" si="21"/>
        <v>[i]Generator[/i]</v>
      </c>
      <c r="X335" s="4" t="str">
        <f t="shared" si="22"/>
        <v>RT_PBG</v>
      </c>
      <c r="Y335" s="4"/>
      <c r="Z335" s="4"/>
      <c r="AA335" s="4"/>
      <c r="AB335" s="4"/>
    </row>
    <row r="336">
      <c r="A336" s="4" t="s">
        <v>1297</v>
      </c>
      <c r="B336" s="4" t="s">
        <v>1298</v>
      </c>
      <c r="C336" s="5" t="s">
        <v>320</v>
      </c>
      <c r="D336" s="6"/>
      <c r="E336" s="4"/>
      <c r="F336" s="4" t="s">
        <v>724</v>
      </c>
      <c r="G336" s="4" t="s">
        <v>1299</v>
      </c>
      <c r="H336" s="5" t="s">
        <v>25</v>
      </c>
      <c r="I336" s="7" t="s">
        <v>1300</v>
      </c>
      <c r="J336" s="4"/>
      <c r="K336" s="4" t="s">
        <v>29</v>
      </c>
      <c r="L336" s="4" t="s">
        <v>29</v>
      </c>
      <c r="M336" s="4"/>
      <c r="N336" s="4"/>
      <c r="O336" s="4"/>
      <c r="P336" s="4"/>
      <c r="Q336" s="8">
        <v>45</v>
      </c>
      <c r="R336" s="8">
        <v>50</v>
      </c>
      <c r="S336" s="4" t="str">
        <f t="shared" si="20"/>
        <v>False</v>
      </c>
      <c r="T336" s="4"/>
      <c r="U336" s="4" t="str">
        <f>IFERROR(__xludf.DUMMYFUNCTION("TRIM(CONCAT(""[right]"", REGEXREPLACE(C336, ""([ROYGBPXZC_]|1?[0-9])"", ""[img=119]res://textures/icons/$0.png[/img]\\n"")))"),"[right]")</f>
        <v>[right]</v>
      </c>
      <c r="V336" s="4" t="str">
        <f>IFERROR(__xludf.DUMMYFUNCTION("SUBSTITUTE(SUBSTITUTE(SUBSTITUTE(SUBSTITUTE(REGEXREPLACE(SUBSTITUTE(SUBSTITUTE(SUBSTITUTE(SUBSTITUTE(REGEXREPLACE(I336, ""(\[([ROYGBPTQUXZC_]|1?[0-9])\])"", ""[img=45]res://textures/icons/$2.png[/img]""),""--"",""—""),""-&gt;"",""•""),""~@"", CONCATENATE(""["&amp;"i]"",REGEXEXTRACT(B336,""^([\s\S]*),|$""),""[/i]"")),""~"", CONCATENATE(""[i]"",B336,""[/i]"")),""(\([\s\S]*?\))"",""[i][color=#34343A]$0[/color][/i]""), ""&lt;"", ""[""), ""&gt;"", ""]""), ""[/p][p]"", ""[font_size=15]\n\n[/font_size]""), ""[br/]"", ""\n"")"),"[center][i][color=#34343A](Generators are not assets or effects. You may only play [i]Substation[/i] whenever you have the option to hire a generator, instead of hiring any other card as a generator. [b]A deck may have any number of [i]Substation[/i]s in "&amp;"it.[/b])[/color][/i]\n[u]Quick Hire[/u] [i][color=#34343A](When [i]Substation[/i] is hired as a generator, it can exhaust as soon as it is hired.)[/color][/i][/center][p][img=45]res://textures/icons/T.png[/img]: Add [img=45]res://textures/icons/C.png[/img"&amp;"].[/p]")</f>
        <v xml:space="preserve">[center][i][color=#34343A](Generators are not assets or effects. You may only play [i]Substation[/i] whenever you have the option to hire a generator, instead of hiring any other card as a generator. [b]A deck may have any number of [i]Substation[/i]s in it.[/b])[/color][/i]\n[u]Quick Hire[/u] [i][color=#34343A](When [i]Substation[/i] is hired as a generator, it can exhaust as soon as it is hired.)[/color][/i][/center][p][img=45]res://textures/icons/T.png[/img]: Add [img=45]res://textures/icons/C.png[/img].[/p]</v>
      </c>
      <c r="W336" s="4" t="str">
        <f t="shared" si="21"/>
        <v>[i]Generator[/i]</v>
      </c>
      <c r="X336" s="4" t="str">
        <f t="shared" si="22"/>
        <v>RT_CBG</v>
      </c>
      <c r="Y336" s="4"/>
      <c r="Z336" s="4"/>
      <c r="AA336" s="4"/>
      <c r="AB336" s="4"/>
    </row>
    <row r="337">
      <c r="A337" s="1" t="s">
        <v>1301</v>
      </c>
      <c r="B337" s="1" t="s">
        <v>1302</v>
      </c>
      <c r="C337" s="2" t="s">
        <v>50</v>
      </c>
      <c r="D337" s="6" t="str">
        <f>IFERROR(__xludf.DUMMYFUNCTION("IF(EQ(A337,B337),"""",SWITCH(IF(T337="""",0,COUNTA(SPLIT(T337,"" ""))),0,""Generic"",1,TRIM(T337),2,""Multicolor"",3,""Multicolor"",4,""Multicolor"",5,""Multicolor"",6,""Multicolor"",7,""Multicolor"",8,""Multicolor""))"),"Generic")</f>
        <v>Generic</v>
      </c>
      <c r="E337" s="1" t="s">
        <v>51</v>
      </c>
      <c r="F337" s="1" t="s">
        <v>73</v>
      </c>
      <c r="G337" s="1" t="s">
        <v>1303</v>
      </c>
      <c r="H337" s="2" t="s">
        <v>96</v>
      </c>
      <c r="I337" s="3" t="s">
        <v>1304</v>
      </c>
      <c r="J337" s="3" t="s">
        <v>1305</v>
      </c>
      <c r="K337" s="1">
        <v>2</v>
      </c>
      <c r="L337" s="1">
        <v>2</v>
      </c>
      <c r="O337" s="3"/>
      <c r="Q337" s="1">
        <v>60</v>
      </c>
      <c r="R337" s="1">
        <v>40</v>
      </c>
      <c r="S337" s="4" t="str">
        <f t="shared" si="20"/>
        <v>True</v>
      </c>
      <c r="T337" s="4" t="str">
        <f>IFERROR(__xludf.DUMMYFUNCTION("CONCATENATE(if(REGEXMATCH(C337,""R""),"" Red"",""""),if(REGEXMATCH(C337,""O""),"" Orange"",""""),if(REGEXMATCH(C337,""Y""),"" Yellow"",""""),if(REGEXMATCH(C337,""G""),"" Green"",""""),if(REGEXMATCH(C337,""B""),"" Blue"",""""),if(REGEXMATCH(C337,""P""),"" "&amp;"Purple"",""""))"),"")</f>
        <v/>
      </c>
      <c r="U337" s="4" t="str">
        <f>IFERROR(__xludf.DUMMYFUNCTION("TRIM(CONCAT(""[right]"", REGEXREPLACE(C337, ""([ROYGBPXZC_]|1?[0-9])"", ""[img=119]res://textures/icons/$0.png[/img]\\n"")))"),"[right][img=119]res://textures/icons/1.png[/img]\n")</f>
        <v>[right][img=119]res://textures/icons/1.png[/img]\n</v>
      </c>
      <c r="V337" s="4" t="str">
        <f>IFERROR(__xludf.DUMMYFUNCTION("SUBSTITUTE(SUBSTITUTE(SUBSTITUTE(SUBSTITUTE(REGEXREPLACE(SUBSTITUTE(SUBSTITUTE(SUBSTITUTE(SUBSTITUTE(REGEXREPLACE(I337, ""(\[([ROYGBPTQUXZC_]|1?[0-9])\])"", ""[img=45]res://textures/icons/$2.png[/img]""),""--"",""—""),""-&gt;"",""•""),""~@"", CONCATENATE(""["&amp;"i]"",REGEXEXTRACT(B337,""^([\s\S]*),|$""),""[/i]"")),""~"", CONCATENATE(""[i]"",B337,""[/i]"")),""(\([\s\S]*?\))"",""[i][color=#34343A]$0[/color][/i]""), ""&lt;"", ""[""), ""&gt;"", ""]""), ""[/p][p]"", ""[font_size=15]\n\n[/font_size]""), ""[br/]"", ""\n"")"),"[center][i][color=#34343A](Becomes [i]'Executive Execution'[/i] if you already control [i]P.O.T.U.S[/i].)[/color][/i]\n[u]Advantageous[/u] [i][color=#34343A](When [i]P.O.T.U.S[/i] resolves, draw a card.)[/color][/i][/center][p][b][i]As Commander[/i] —[/b]"&amp;" Your maximum hand size is increased by 1.[font_size=15]\n\n[/font_size][b][i]As Asset[/i] —[/b] If [i]P.O.T.U.S[/i] is in your opening hand, you may reveal it. If you do, you go first [i][color=#34343A](If both players reveal [i]P.O.T.U.S[/i], the player"&amp;" who was to go first previously goes first as normal.)[/color][/i][/p]")</f>
        <v xml:space="preserve">[center][i][color=#34343A](Becomes [i]'Executive Execution'[/i] if you already control [i]P.O.T.U.S[/i].)[/color][/i]\n[u]Advantageous[/u] [i][color=#34343A](When [i]P.O.T.U.S[/i] resolves, draw a card.)[/color][/i][/center][p][b][i]As Commander[/i] —[/b] Your maximum hand size is increased by 1.[font_size=15]\n\n[/font_size][b][i]As Asset[/i] —[/b] If [i]P.O.T.U.S[/i] is in your opening hand, you may reveal it. If you do, you go first [i][color=#34343A](If both players reveal [i]P.O.T.U.S[/i], the player who was to go first previously goes first as normal.)[/color][/i][/p]</v>
      </c>
      <c r="W337" s="4" t="str">
        <f t="shared" si="21"/>
        <v>[i]Commander[/i]</v>
      </c>
      <c r="X337" s="4" t="str">
        <f t="shared" si="22"/>
        <v>RT_C_CMDR</v>
      </c>
      <c r="Y337" s="4"/>
      <c r="Z337" s="4"/>
      <c r="AA337" s="4"/>
      <c r="AB337" s="4"/>
    </row>
    <row r="338">
      <c r="A338" s="1" t="s">
        <v>1306</v>
      </c>
      <c r="B338" s="1" t="s">
        <v>1307</v>
      </c>
      <c r="C338" s="2" t="s">
        <v>1308</v>
      </c>
      <c r="D338" s="6" t="str">
        <f>IFERROR(__xludf.DUMMYFUNCTION("IF(EQ(A338,B338),"""",SWITCH(IF(T338="""",0,COUNTA(SPLIT(T338,"" ""))),0,""Generic"",1,TRIM(T338),2,""Multicolor"",3,""Multicolor"",4,""Multicolor"",5,""Multicolor"",6,""Multicolor"",7,""Multicolor"",8,""Multicolor""))"),"Generic")</f>
        <v>Generic</v>
      </c>
      <c r="E338" s="1"/>
      <c r="F338" s="1" t="s">
        <v>87</v>
      </c>
      <c r="G338" s="1" t="s">
        <v>88</v>
      </c>
      <c r="H338" s="2" t="s">
        <v>25</v>
      </c>
      <c r="I338" s="3" t="s">
        <v>1309</v>
      </c>
      <c r="J338" s="3"/>
      <c r="O338" s="3"/>
      <c r="Q338" s="1">
        <v>50</v>
      </c>
      <c r="R338" s="1">
        <v>50</v>
      </c>
      <c r="S338" s="4" t="str">
        <f t="shared" si="20"/>
        <v>False</v>
      </c>
      <c r="T338" s="4" t="str">
        <f>IFERROR(__xludf.DUMMYFUNCTION("CONCATENATE(if(REGEXMATCH(C338,""R""),"" Red"",""""),if(REGEXMATCH(C338,""O""),"" Orange"",""""),if(REGEXMATCH(C338,""Y""),"" Yellow"",""""),if(REGEXMATCH(C338,""G""),"" Green"",""""),if(REGEXMATCH(C338,""B""),"" Blue"",""""),if(REGEXMATCH(C338,""P""),"" "&amp;"Purple"",""""))"),"")</f>
        <v/>
      </c>
      <c r="U338" s="4" t="str">
        <f>IFERROR(__xludf.DUMMYFUNCTION("TRIM(CONCAT(""[right]"", REGEXREPLACE(C338, ""([ROYGBPXZC_]|1?[0-9])"", ""[img=119]res://textures/icons/$0.png[/img]\\n"")))"),"[right][img=119]res://textures/icons/8.png[/img]\n")</f>
        <v>[right][img=119]res://textures/icons/8.png[/img]\n</v>
      </c>
      <c r="V338" s="4" t="str">
        <f>IFERROR(__xludf.DUMMYFUNCTION("SUBSTITUTE(SUBSTITUTE(SUBSTITUTE(SUBSTITUTE(REGEXREPLACE(SUBSTITUTE(SUBSTITUTE(SUBSTITUTE(SUBSTITUTE(REGEXREPLACE(I338, ""(\[([ROYGBPTQUXZC_]|1?[0-9])\])"", ""[img=45]res://textures/icons/$2.png[/img]""),""--"",""—""),""-&gt;"",""•""),""~@"", CONCATENATE(""["&amp;"i]"",REGEXEXTRACT(B338,""^([\s\S]*),|$""),""[/i]"")),""~"", CONCATENATE(""[i]"",B338,""[/i]"")),""(\([\s\S]*?\))"",""[i][color=#34343A]$0[/color][/i]""), ""&lt;"", ""[""), ""&gt;"", ""]""), ""[/p][p]"", ""[font_size=15]\n\n[/font_size]""), ""[br/]"", ""\n"")"),"[center][i][color=#34343A](This effect can only be deployed if you control a renowned asset. Banked energy can't be spent to deploy renowned cards.)[/color][/i][/center][p]Kill a combatant of your choice.[font_size=15]\n\n[/font_size][u]Personal[/u] [i][c"&amp;"olor=#34343A](Shuffle [i]'P.O.T.U.S'[/i] into your deck.)[/color][/i][/p]")</f>
        <v xml:space="preserve">[center][i][color=#34343A](This effect can only be deployed if you control a renowned asset. Banked energy can't be spent to deploy renowned cards.)[/color][/i][/center][p]Kill a combatant of your choice.[font_size=15]\n\n[/font_size][u]Personal[/u] [i][color=#34343A](Shuffle [i]'P.O.T.U.S'[/i] into your deck.)[/color][/i][/p]</v>
      </c>
      <c r="W338" s="4" t="str">
        <f t="shared" si="21"/>
        <v xml:space="preserve">[i]R. Effect[/i]</v>
      </c>
      <c r="X338" s="4" t="str">
        <f t="shared" si="22"/>
        <v>RT_C_CMDRb</v>
      </c>
      <c r="Y338" s="4"/>
      <c r="Z338" s="4"/>
      <c r="AA338" s="4"/>
      <c r="AB338" s="4"/>
    </row>
    <row r="339">
      <c r="A339" s="1" t="s">
        <v>1310</v>
      </c>
      <c r="B339" s="4" t="s">
        <v>1311</v>
      </c>
      <c r="C339" s="5" t="s">
        <v>320</v>
      </c>
      <c r="D339" s="6" t="str">
        <f>IFERROR(__xludf.DUMMYFUNCTION("IF(EQ(A339,B339),"""",SWITCH(IF(T339="""",0,COUNTA(SPLIT(T339,"" ""))),0,""Generic"",1,TRIM(T339),2,""Multicolor"",3,""Multicolor"",4,""Multicolor"",5,""Multicolor"",6,""Multicolor"",7,""Multicolor"",8,""Multicolor""))"),"Generic")</f>
        <v>Generic</v>
      </c>
      <c r="E339" s="4"/>
      <c r="F339" s="4" t="s">
        <v>724</v>
      </c>
      <c r="G339" s="4" t="s">
        <v>320</v>
      </c>
      <c r="H339" s="5" t="s">
        <v>81</v>
      </c>
      <c r="I339" s="7" t="s">
        <v>1312</v>
      </c>
      <c r="J339" s="7" t="s">
        <v>1313</v>
      </c>
      <c r="K339" s="4"/>
      <c r="L339" s="4"/>
      <c r="M339" s="4"/>
      <c r="N339" s="4"/>
      <c r="O339" s="4"/>
      <c r="P339" s="4"/>
      <c r="Q339" s="8">
        <v>60</v>
      </c>
      <c r="R339" s="8">
        <v>50</v>
      </c>
      <c r="S339" s="4" t="str">
        <f t="shared" si="20"/>
        <v>False</v>
      </c>
      <c r="T339" s="4" t="str">
        <f>IFERROR(__xludf.DUMMYFUNCTION("CONCATENATE(if(REGEXMATCH(C339,""R""),"" Red"",""""),if(REGEXMATCH(C339,""O""),"" Orange"",""""),if(REGEXMATCH(C339,""Y""),"" Yellow"",""""),if(REGEXMATCH(C339,""G""),"" Green"",""""),if(REGEXMATCH(C339,""B""),"" Blue"",""""),if(REGEXMATCH(C339,""P""),"" "&amp;"Purple"",""""))"),"")</f>
        <v/>
      </c>
      <c r="U339" s="4" t="str">
        <f>IFERROR(__xludf.DUMMYFUNCTION("TRIM(CONCAT(""[right]"", REGEXREPLACE(C339, ""([ROYGBPXZC_]|1?[0-9])"", ""[img=119]res://textures/icons/$0.png[/img]\\n"")))"),"[right]")</f>
        <v>[right]</v>
      </c>
      <c r="V339" s="4" t="str">
        <f>IFERROR(__xludf.DUMMYFUNCTION("SUBSTITUTE(SUBSTITUTE(SUBSTITUTE(SUBSTITUTE(REGEXREPLACE(SUBSTITUTE(SUBSTITUTE(SUBSTITUTE(SUBSTITUTE(REGEXREPLACE(I339, ""(\[([ROYGBPTQUXZC_]|1?[0-9])\])"", ""[img=45]res://textures/icons/$2.png[/img]""),""--"",""—""),""-&gt;"",""•""),""~@"", CONCATENATE(""["&amp;"i]"",REGEXEXTRACT(B339,""^([\s\S]*),|$""),""[/i]"")),""~"", CONCATENATE(""[i]"",B339,""[/i]"")),""(\([\s\S]*?\))"",""[i][color=#34343A]$0[/color][/i]""), ""&lt;"", ""[""), ""&gt;"", ""]""), ""[/p][p]"", ""[font_size=15]\n\n[/font_size]""), ""[br/]"", ""\n"")"),"[center][i][color=#34343A](Generators are not assets or effects. You may only play [i]Power Grid[/i] whenever you have the option to hire a generator, instead of hiring any other card as a generator. [b]If [i]Power Grid[/i] is not drawn, it becomes [i]'Fi"&amp;"eld Generator'[/i][/b].)[/color][/i][/center][p]When you hire [i]Power Grid[/i],  [u]forfeit[/u] [i][color=#34343A](Put the specified card into its owner's discard.)[/color][/i] it unless you pay [img=45]res://textures/icons/3.png[/img].[font_size=15]\n\n"&amp;"[/font_size][img=45]res://textures/icons/T.png[/img]: Add [u][img=45]res://textures/icons/X.png[/img][/u] [i][color=#34343A](X is the number cards named [i]Power Grid[/i] on the battlefield.)[/color][/i][/p]")</f>
        <v xml:space="preserve">[center][i][color=#34343A](Generators are not assets or effects. You may only play [i]Power Grid[/i] whenever you have the option to hire a generator, instead of hiring any other card as a generator. [b]If [i]Power Grid[/i] is not drawn, it becomes [i]'Field Generator'[/i][/b].)[/color][/i][/center][p]When you hire [i]Power Grid[/i],  [u]forfeit[/u] [i][color=#34343A](Put the specified card into its owner's discard.)[/color][/i] it unless you pay [img=45]res://textures/icons/3.png[/img].[font_size=15]\n\n[/font_size][img=45]res://textures/icons/T.png[/img]: Add [u][img=45]res://textures/icons/X.png[/img][/u] [i][color=#34343A](X is the number cards named [i]Power Grid[/i] on the battlefield.)[/color][/i][/p]</v>
      </c>
      <c r="W339" s="4" t="str">
        <f t="shared" si="21"/>
        <v>[i]Generator[/i]</v>
      </c>
      <c r="X339" s="4" t="str">
        <f t="shared" si="22"/>
        <v>RT_CR_001</v>
      </c>
      <c r="Y339" s="4"/>
      <c r="Z339" s="4"/>
      <c r="AA339" s="4"/>
      <c r="AB339" s="4"/>
    </row>
    <row r="340">
      <c r="A340" s="1" t="s">
        <v>1314</v>
      </c>
      <c r="B340" s="1" t="s">
        <v>1315</v>
      </c>
      <c r="C340" s="2" t="s">
        <v>44</v>
      </c>
      <c r="D340" s="6" t="s">
        <v>67</v>
      </c>
      <c r="E340" s="1"/>
      <c r="F340" s="1" t="s">
        <v>738</v>
      </c>
      <c r="G340" s="4" t="s">
        <v>1299</v>
      </c>
      <c r="H340" s="2" t="s">
        <v>25</v>
      </c>
      <c r="I340" s="7" t="s">
        <v>1316</v>
      </c>
      <c r="J340" s="3"/>
      <c r="K340" s="1"/>
      <c r="L340" s="1"/>
      <c r="O340" s="3"/>
      <c r="Q340" s="8">
        <v>60</v>
      </c>
      <c r="R340" s="8">
        <v>50</v>
      </c>
      <c r="S340" s="4" t="str">
        <f t="shared" si="20"/>
        <v>False</v>
      </c>
      <c r="T340" s="4" t="str">
        <f>IFERROR(__xludf.DUMMYFUNCTION("CONCATENATE(if(REGEXMATCH(C340,""R""),"" Red"",""""),if(REGEXMATCH(C340,""O""),"" Orange"",""""),if(REGEXMATCH(C340,""Y""),"" Yellow"",""""),if(REGEXMATCH(C340,""G""),"" Green"",""""),if(REGEXMATCH(C340,""B""),"" Blue"",""""),if(REGEXMATCH(C340,""P""),"" "&amp;"Purple"",""""))"),"")</f>
        <v/>
      </c>
      <c r="U340" s="4" t="str">
        <f>IFERROR(__xludf.DUMMYFUNCTION("TRIM(CONCAT(""[right]"", REGEXREPLACE(C340, ""([ROYGBPXZC_]|1?[0-9])"", ""[img=119]res://textures/icons/$0.png[/img]\\n"")))"),"[right][img=119]res://textures/icons/2.png[/img]\n")</f>
        <v>[right][img=119]res://textures/icons/2.png[/img]\n</v>
      </c>
      <c r="V340" s="4" t="str">
        <f>IFERROR(__xludf.DUMMYFUNCTION("SUBSTITUTE(SUBSTITUTE(SUBSTITUTE(SUBSTITUTE(REGEXREPLACE(SUBSTITUTE(SUBSTITUTE(SUBSTITUTE(SUBSTITUTE(REGEXREPLACE(I340, ""(\[([ROYGBPTQUXZC_]|1?[0-9])\])"", ""[img=45]res://textures/icons/$2.png[/img]""),""--"",""—""),""-&gt;"",""•""),""~@"", CONCATENATE(""["&amp;"i]"",REGEXEXTRACT(B340,""^([\s\S]*),|$""),""[/i]"")),""~"", CONCATENATE(""[i]"",B340,""[/i]"")),""(\([\s\S]*?\))"",""[i][color=#34343A]$0[/color][/i]""), ""&lt;"", ""[""), ""&gt;"", ""]""), ""[/p][p]"", ""[font_size=15]\n\n[/font_size]""), ""[br/]"", ""\n"")"),"[i][color=#34343A](You may play [i]Field Generator[/i] whenever you have the option to hire a generator, instead of hiring any other card as a generator, or you may deploy it as an asset.)[/color][/i][p][img=45]res://textures/icons/T.png[/img]: Add [img=4"&amp;"5]res://textures/icons/2.png[/img].[/p]")</f>
        <v xml:space="preserve">[i][color=#34343A](You may play [i]Field Generator[/i] whenever you have the option to hire a generator, instead of hiring any other card as a generator, or you may deploy it as an asset.)[/color][/i][p][img=45]res://textures/icons/T.png[/img]: Add [img=45]res://textures/icons/2.png[/img].[/p]</v>
      </c>
      <c r="W340" s="4" t="str">
        <f t="shared" si="21"/>
        <v xml:space="preserve">[i]Gen. Asset[/i]</v>
      </c>
      <c r="X340" s="4" t="str">
        <f t="shared" si="22"/>
        <v>RT_CR_001b</v>
      </c>
    </row>
    <row r="341">
      <c r="A341" s="1" t="s">
        <v>1317</v>
      </c>
      <c r="B341" s="1" t="s">
        <v>1318</v>
      </c>
      <c r="C341" s="2" t="s">
        <v>1319</v>
      </c>
      <c r="D341" s="6" t="str">
        <f>IFERROR(__xludf.DUMMYFUNCTION("IF(ISBLANK(A341),"""",SWITCH(IF(T341="""",0,COUNTA(SPLIT(T341,"" ""))),0,""Generic"",1,TRIM(T341),2,""Multicolor"",3,""Multicolor"",4,""Multicolor"",5,""Multicolor"",6,""Multicolor"",7,""Multicolor"",8,""Multicolor""))"),"Multicolor")</f>
        <v>Multicolor</v>
      </c>
      <c r="E341" s="1"/>
      <c r="F341" s="1" t="s">
        <v>26</v>
      </c>
      <c r="G341" s="1" t="s">
        <v>1320</v>
      </c>
      <c r="H341" s="12">
        <v>9</v>
      </c>
      <c r="I341" s="3" t="s">
        <v>1321</v>
      </c>
      <c r="Q341" s="1">
        <v>60</v>
      </c>
      <c r="R341" s="1">
        <v>50</v>
      </c>
      <c r="S341" s="4" t="str">
        <f t="shared" si="20"/>
        <v>False</v>
      </c>
      <c r="T341" s="4" t="s">
        <v>1322</v>
      </c>
      <c r="U341" s="4" t="str">
        <f>IFERROR(__xludf.DUMMYFUNCTION("TRIM(CONCAT(""[right]"", REGEXREPLACE(C341, ""([ROYGBPXZC_]|1?[0-9])"", ""[img=119]res://textures/icons/$0.png[/img]\\n"")))"),"[right][img=119]res://textures/icons/_.png[/img]\n[img=119]res://textures/icons/_.png[/img]\n")</f>
        <v>[right][img=119]res://textures/icons/_.png[/img]\n[img=119]res://textures/icons/_.png[/img]\n</v>
      </c>
      <c r="V341" s="4" t="str">
        <f>IFERROR(__xludf.DUMMYFUNCTION("SUBSTITUTE(SUBSTITUTE(SUBSTITUTE(SUBSTITUTE(REGEXREPLACE(SUBSTITUTE(SUBSTITUTE(SUBSTITUTE(SUBSTITUTE(REGEXREPLACE(I341, ""(\[([ROYGBPTQUXZC_]|1?[0-9])\])"", ""[img=45]res://textures/icons/$2.png[/img]""),""--"",""—""),""-&gt;"",""•""),""~@"", CONCATENATE(""["&amp;"i]"",REGEXEXTRACT(B341,""^([\s\S]*),|$""),""[/i]"")),""~"", CONCATENATE(""[i]"",B341,""[/i]"")),""(\([\s\S]*?\))"",""[i][color=#34343A]$0[/color][/i]""), ""&lt;"", ""[""), ""&gt;"", ""]""), ""[/p][p]"", ""[font_size=15]\n\n[/font_size]""), ""[br/]"", ""\n"")"),"[center][i][color=#34343A]([img=45]res://textures/icons/_.png[/img] can be paid with [img=45]res://textures/icons/2.png[/img] or [img=45]res://textures/icons/Y.png[/img].)[/color][/i][/center][p]Whenever a player discards down to their maximum hand size, "&amp;"their commander loses X [i][color=#34343A](X is the number of cards discarded)[/color][/i] loyalty.[font_size=15]\n\n[/font_size][i][color=#34343A]([i]Sadness[/i] has [u]generalized cost[/u] [img=45]res://textures/icons/4.png[/img].)[/color][/i][/p]")</f>
        <v xml:space="preserve">[center][i][color=#34343A]([img=45]res://textures/icons/_.png[/img] can be paid with [img=45]res://textures/icons/2.png[/img] or [img=45]res://textures/icons/Y.png[/img].)[/color][/i][/center][p]Whenever a player discards down to their maximum hand size, their commander loses X [i][color=#34343A](X is the number of cards discarded)[/color][/i] loyalty.[font_size=15]\n\n[/font_size][i][color=#34343A]([i]Sadness[/i] has [u]generalized cost[/u] [img=45]res://textures/icons/4.png[/img].)[/color][/i][/p]</v>
      </c>
      <c r="W341" s="4" t="str">
        <f t="shared" si="21"/>
        <v>[i]Asset[/i]</v>
      </c>
      <c r="X341" s="4" t="str">
        <f t="shared" si="22"/>
        <v>RT_CR_002</v>
      </c>
    </row>
    <row r="342">
      <c r="A342" s="4" t="s">
        <v>1323</v>
      </c>
      <c r="B342" s="4" t="s">
        <v>1324</v>
      </c>
      <c r="C342" s="5" t="s">
        <v>32</v>
      </c>
      <c r="D342" s="6" t="str">
        <f>IFERROR(__xludf.DUMMYFUNCTION("IF(ISBLANK(A342),"""",SWITCH(IF(T342="""",0,COUNTA(SPLIT(T342,"" ""))),0,""Generic"",1,TRIM(T342),2,""Multicolor"",3,""Multicolor"",4,""Multicolor"",5,""Multicolor"",6,""Multicolor"",7,""Multicolor"",8,""Multicolor""))"),"Generic")</f>
        <v>Generic</v>
      </c>
      <c r="E342" s="4"/>
      <c r="F342" s="4" t="s">
        <v>26</v>
      </c>
      <c r="G342" s="4" t="s">
        <v>1325</v>
      </c>
      <c r="H342" s="5" t="s">
        <v>81</v>
      </c>
      <c r="I342" s="3" t="s">
        <v>1326</v>
      </c>
      <c r="J342" s="7"/>
      <c r="K342" s="8"/>
      <c r="L342" s="8"/>
      <c r="M342" s="4"/>
      <c r="N342" s="4"/>
      <c r="O342" s="7"/>
      <c r="P342" s="4"/>
      <c r="Q342" s="1">
        <v>45</v>
      </c>
      <c r="R342" s="1">
        <v>50</v>
      </c>
      <c r="S342" s="4" t="str">
        <f t="shared" si="20"/>
        <v>False</v>
      </c>
      <c r="T342" s="4" t="str">
        <f>IFERROR(__xludf.DUMMYFUNCTION("CONCATENATE(if(REGEXMATCH(C342,""R""),"" Red"",""""),if(REGEXMATCH(C342,""O""),"" Orange"",""""),if(REGEXMATCH(C342,""Y""),"" Yellow"",""""),if(REGEXMATCH(C342,""G""),"" Green"",""""),if(REGEXMATCH(C342,""B""),"" Blue"",""""),if(REGEXMATCH(C342,""P""),"" "&amp;"Purple"",""""))"),"")</f>
        <v/>
      </c>
      <c r="U342" s="4" t="str">
        <f>IFERROR(__xludf.DUMMYFUNCTION("TRIM(CONCAT(""[right]"", REGEXREPLACE(C342, ""([ROYGBPXZC_]|1?[0-9])"", ""[img=119]res://textures/icons/$0.png[/img]\\n"")))"),"[right][img=119]res://textures/icons/3.png[/img]\n")</f>
        <v>[right][img=119]res://textures/icons/3.png[/img]\n</v>
      </c>
      <c r="V342" s="4" t="str">
        <f>IFERROR(__xludf.DUMMYFUNCTION("SUBSTITUTE(SUBSTITUTE(SUBSTITUTE(SUBSTITUTE(REGEXREPLACE(SUBSTITUTE(SUBSTITUTE(SUBSTITUTE(SUBSTITUTE(REGEXREPLACE(I342, ""(\[([ROYGBPTQUXZC_]|1?[0-9])\])"", ""[img=45]res://textures/icons/$2.png[/img]""),""--"",""—""),""-&gt;"",""•""),""~@"", CONCATENATE(""["&amp;"i]"",REGEXEXTRACT(B342,""^([\s\S]*),|$""),""[/i]"")),""~"", CONCATENATE(""[i]"",B342,""[/i]"")),""(\([\s\S]*?\))"",""[i][color=#34343A]$0[/color][/i]""), ""&lt;"", ""[""), ""&gt;"", ""]""), ""[/p][p]"", ""[font_size=15]\n\n[/font_size]""), ""[br/]"", ""\n"")"),"[center][i][color=#34343A](When [i]Lunar Water Reserves[/i] enters the battlefield or at the beginning of your turn, progress to the next phase unless the final phase has been reached.)[/color][/i][/center][p][b][i]1-3)[/i][/b] Create [u]X[/u] [i][color=#"&amp;"34343A](X is the number of turns [i]Lunar Water Reserves[/i] has been on the battlefield)[/color][/i] [u]transient[/u] [i][color=#34343A](If it would enter a discard, instead remove it from the game.)[/color][/i] [i]'Explorer Drone'[/i]s in your hand.[fon"&amp;"t_size=15]\n\n[/font_size][b][i]Final)[/i][/b] At the beginning of each turn, your commander gains 1 loyalty.[/p]")</f>
        <v xml:space="preserve">[center][i][color=#34343A](When [i]Lunar Water Reserves[/i] enters the battlefield or at the beginning of your turn, progress to the next phase unless the final phase has been reached.)[/color][/i][/center][p][b][i]1-3)[/i][/b] Create [u]X[/u] [i][color=#34343A](X is the number of turns [i]Lunar Water Reserves[/i] has been on the battlefield)[/color][/i] [u]transient[/u] [i][color=#34343A](If it would enter a discard, instead remove it from the game.)[/color][/i] [i]'Explorer Drone'[/i]s in your hand.[font_size=15]\n\n[/font_size][b][i]Final)[/i][/b] At the beginning of each turn, your commander gains 1 loyalty.[/p]</v>
      </c>
      <c r="W342" s="4" t="str">
        <f t="shared" si="21"/>
        <v>[i]Asset[/i]</v>
      </c>
      <c r="X342" s="4" t="str">
        <f t="shared" si="22"/>
        <v>RT_CR_004</v>
      </c>
      <c r="Y342" s="4"/>
      <c r="Z342" s="4"/>
      <c r="AA342" s="4"/>
      <c r="AB342" s="4"/>
    </row>
    <row r="343">
      <c r="A343" s="4" t="s">
        <v>1327</v>
      </c>
      <c r="B343" s="4" t="s">
        <v>1328</v>
      </c>
      <c r="C343" s="5" t="s">
        <v>1329</v>
      </c>
      <c r="D343" s="6" t="str">
        <f>IFERROR(__xludf.DUMMYFUNCTION("IF(ISBLANK(A343),"""",SWITCH(IF(T343="""",0,COUNTA(SPLIT(T343,"" ""))),0,""Generic"",1,TRIM(T343),2,""Multicolor"",3,""Multicolor"",4,""Multicolor"",5,""Multicolor"",6,""Multicolor"",7,""Multicolor"",8,""Multicolor""))"),"Generic")</f>
        <v>Generic</v>
      </c>
      <c r="E343" s="4"/>
      <c r="F343" s="4" t="s">
        <v>33</v>
      </c>
      <c r="G343" s="4" t="s">
        <v>320</v>
      </c>
      <c r="H343" s="5" t="s">
        <v>81</v>
      </c>
      <c r="I343" s="7" t="s">
        <v>1330</v>
      </c>
      <c r="J343" s="7"/>
      <c r="K343" s="8"/>
      <c r="L343" s="8"/>
      <c r="M343" s="4"/>
      <c r="N343" s="4"/>
      <c r="O343" s="7"/>
      <c r="P343" s="4"/>
      <c r="Q343" s="1">
        <v>45</v>
      </c>
      <c r="R343" s="1">
        <v>50</v>
      </c>
      <c r="S343" s="4" t="str">
        <f t="shared" si="20"/>
        <v>False</v>
      </c>
      <c r="T343" s="4" t="str">
        <f>IFERROR(__xludf.DUMMYFUNCTION("CONCATENATE(if(REGEXMATCH(C343,""R""),"" Red"",""""),if(REGEXMATCH(C343,""O""),"" Orange"",""""),if(REGEXMATCH(C343,""Y""),"" Yellow"",""""),if(REGEXMATCH(C343,""G""),"" Green"",""""),if(REGEXMATCH(C343,""B""),"" Blue"",""""),if(REGEXMATCH(C343,""P""),"" "&amp;"Purple"",""""))"),"")</f>
        <v/>
      </c>
      <c r="U343" s="4" t="str">
        <f>IFERROR(__xludf.DUMMYFUNCTION("TRIM(CONCAT(""[right]"", REGEXREPLACE(C343, ""([ROYGBPXZC_]|1?[0-9])"", ""[img=119]res://textures/icons/$0.png[/img]\\n"")))"),"[right][img=119]res://textures/icons/X.png[/img]\n[img=119]res://textures/icons/X.png[/img]\n")</f>
        <v>[right][img=119]res://textures/icons/X.png[/img]\n[img=119]res://textures/icons/X.png[/img]\n</v>
      </c>
      <c r="V343" s="4" t="str">
        <f>IFERROR(__xludf.DUMMYFUNCTION("SUBSTITUTE(SUBSTITUTE(SUBSTITUTE(SUBSTITUTE(REGEXREPLACE(SUBSTITUTE(SUBSTITUTE(SUBSTITUTE(SUBSTITUTE(REGEXREPLACE(I343, ""(\[([ROYGBPTQUXZC_]|1?[0-9])\])"", ""[img=45]res://textures/icons/$2.png[/img]""),""--"",""—""),""-&gt;"",""•""),""~@"", CONCATENATE(""["&amp;"i]"",REGEXEXTRACT(B343,""^([\s\S]*),|$""),""[/i]"")),""~"", CONCATENATE(""[i]"",B343,""[/i]"")),""(\([\s\S]*?\))"",""[i][color=#34343A]$0[/color][/i]""), ""&lt;"", ""[""), ""&gt;"", ""]""), ""[/p][p]"", ""[font_size=15]\n\n[/font_size]""), ""[br/]"", ""\n"")"),"[p]Choose an exhausted combatant; remove it from the game unless its controller pays [img=45]res://textures/icons/X.png[/img].[font_size=15]\n\n[/font_size]If they pay the cost, shuffle a [i]'Doubt'[/i] into your deck.[/p]")</f>
        <v xml:space="preserve">[p]Choose an exhausted combatant; remove it from the game unless its controller pays [img=45]res://textures/icons/X.png[/img].[font_size=15]\n\n[/font_size]If they pay the cost, shuffle a [i]'Doubt'[/i] into your deck.[/p]</v>
      </c>
      <c r="W343" s="4" t="str">
        <f t="shared" si="21"/>
        <v>[i]Effect[/i]</v>
      </c>
      <c r="X343" s="4" t="str">
        <f t="shared" si="22"/>
        <v>RT_CR_005</v>
      </c>
      <c r="Y343" s="4"/>
      <c r="Z343" s="4"/>
      <c r="AA343" s="4"/>
      <c r="AB343" s="4"/>
    </row>
    <row r="344">
      <c r="A344" s="4" t="s">
        <v>1331</v>
      </c>
      <c r="B344" s="4" t="s">
        <v>1332</v>
      </c>
      <c r="C344" s="5" t="s">
        <v>32</v>
      </c>
      <c r="D344" s="6" t="str">
        <f>IFERROR(__xludf.DUMMYFUNCTION("IF(ISBLANK(A344),"""",SWITCH(IF(T344="""",0,COUNTA(SPLIT(T344,"" ""))),0,""Generic"",1,TRIM(T344),2,""Multicolor"",3,""Multicolor"",4,""Multicolor"",5,""Multicolor"",6,""Multicolor"",7,""Multicolor"",8,""Multicolor""))"),"Generic")</f>
        <v>Generic</v>
      </c>
      <c r="E344" s="4" t="s">
        <v>51</v>
      </c>
      <c r="F344" s="4" t="s">
        <v>26</v>
      </c>
      <c r="G344" s="4" t="s">
        <v>1333</v>
      </c>
      <c r="H344" s="5" t="s">
        <v>81</v>
      </c>
      <c r="I344" s="7" t="s">
        <v>1334</v>
      </c>
      <c r="J344" s="7"/>
      <c r="K344" s="8">
        <v>5</v>
      </c>
      <c r="L344" s="8">
        <v>5</v>
      </c>
      <c r="M344" s="4"/>
      <c r="N344" s="4"/>
      <c r="O344" s="7"/>
      <c r="P344" s="4"/>
      <c r="Q344" s="8">
        <v>60</v>
      </c>
      <c r="R344" s="8">
        <v>50</v>
      </c>
      <c r="S344" s="4" t="str">
        <f t="shared" si="20"/>
        <v>True</v>
      </c>
      <c r="T344" s="4" t="str">
        <f>IFERROR(__xludf.DUMMYFUNCTION("CONCATENATE(if(REGEXMATCH(C344,""R""),"" Red"",""""),if(REGEXMATCH(C344,""O""),"" Orange"",""""),if(REGEXMATCH(C344,""Y""),"" Yellow"",""""),if(REGEXMATCH(C344,""G""),"" Green"",""""),if(REGEXMATCH(C344,""B""),"" Blue"",""""),if(REGEXMATCH(C344,""P""),"" "&amp;"Purple"",""""))"),"")</f>
        <v/>
      </c>
      <c r="U344" s="4" t="str">
        <f>IFERROR(__xludf.DUMMYFUNCTION("TRIM(CONCAT(""[right]"", REGEXREPLACE(C344, ""([ROYGBPXZC_]|1?[0-9])"", ""[img=119]res://textures/icons/$0.png[/img]\\n"")))"),"[right][img=119]res://textures/icons/3.png[/img]\n")</f>
        <v>[right][img=119]res://textures/icons/3.png[/img]\n</v>
      </c>
      <c r="V344" s="4" t="str">
        <f>IFERROR(__xludf.DUMMYFUNCTION("SUBSTITUTE(SUBSTITUTE(SUBSTITUTE(SUBSTITUTE(REGEXREPLACE(SUBSTITUTE(SUBSTITUTE(SUBSTITUTE(SUBSTITUTE(REGEXREPLACE(I344, ""(\[([ROYGBPTQUXZC_]|1?[0-9])\])"", ""[img=45]res://textures/icons/$2.png[/img]""),""--"",""—""),""-&gt;"",""•""),""~@"", CONCATENATE(""["&amp;"i]"",REGEXEXTRACT(B344,""^([\s\S]*),|$""),""[/i]"")),""~"", CONCATENATE(""[i]"",B344,""[/i]"")),""(\([\s\S]*?\))"",""[i][color=#34343A]$0[/color][/i]""), ""&lt;"", ""[""), ""&gt;"", ""]""), ""[/p][p]"", ""[font_size=15]\n\n[/font_size]""), ""[br/]"", ""\n"")"),"If a generator would produce more than 1 energy, its owner's commander loses that much loyalty.")</f>
        <v xml:space="preserve">If a generator would produce more than 1 energy, its owner's commander loses that much loyalty.</v>
      </c>
      <c r="W344" s="4" t="str">
        <f t="shared" si="21"/>
        <v>[i]Asset[/i]</v>
      </c>
      <c r="X344" s="4" t="str">
        <f t="shared" si="22"/>
        <v>RT_CR_006</v>
      </c>
      <c r="Y344" s="4"/>
      <c r="Z344" s="4"/>
      <c r="AA344" s="4"/>
      <c r="AB344" s="4"/>
    </row>
    <row r="345">
      <c r="A345" s="4" t="s">
        <v>1335</v>
      </c>
      <c r="B345" s="4" t="s">
        <v>1336</v>
      </c>
      <c r="C345" s="5" t="s">
        <v>32</v>
      </c>
      <c r="D345" s="6" t="str">
        <f>IFERROR(__xludf.DUMMYFUNCTION("IF(ISBLANK(A345),"""",SWITCH(IF(T345="""",0,COUNTA(SPLIT(T345,"" ""))),0,""Generic"",1,TRIM(T345),2,""Multicolor"",3,""Multicolor"",4,""Multicolor"",5,""Multicolor"",6,""Multicolor"",7,""Multicolor"",8,""Multicolor""))"),"Generic")</f>
        <v>Generic</v>
      </c>
      <c r="E345" s="4"/>
      <c r="F345" s="4" t="s">
        <v>33</v>
      </c>
      <c r="G345" s="4"/>
      <c r="H345" s="5" t="s">
        <v>81</v>
      </c>
      <c r="I345" s="7" t="s">
        <v>1337</v>
      </c>
      <c r="J345" s="7"/>
      <c r="K345" s="8"/>
      <c r="L345" s="8"/>
      <c r="M345" s="4"/>
      <c r="N345" s="4"/>
      <c r="O345" s="7"/>
      <c r="P345" s="4"/>
      <c r="Q345" s="8">
        <v>60</v>
      </c>
      <c r="R345" s="8">
        <v>50</v>
      </c>
      <c r="S345" s="4" t="str">
        <f t="shared" si="20"/>
        <v>False</v>
      </c>
      <c r="T345" s="4" t="str">
        <f>IFERROR(__xludf.DUMMYFUNCTION("CONCATENATE(if(REGEXMATCH(C345,""R""),"" Red"",""""),if(REGEXMATCH(C345,""O""),"" Orange"",""""),if(REGEXMATCH(C345,""Y""),"" Yellow"",""""),if(REGEXMATCH(C345,""G""),"" Green"",""""),if(REGEXMATCH(C345,""B""),"" Blue"",""""),if(REGEXMATCH(C345,""P""),"" "&amp;"Purple"",""""))"),"")</f>
        <v/>
      </c>
      <c r="U345" s="4" t="str">
        <f>IFERROR(__xludf.DUMMYFUNCTION("TRIM(CONCAT(""[right]"", REGEXREPLACE(C345, ""([ROYGBPXZC_]|1?[0-9])"", ""[img=119]res://textures/icons/$0.png[/img]\\n"")))"),"[right][img=119]res://textures/icons/3.png[/img]\n")</f>
        <v>[right][img=119]res://textures/icons/3.png[/img]\n</v>
      </c>
      <c r="V345" s="4" t="str">
        <f>IFERROR(__xludf.DUMMYFUNCTION("SUBSTITUTE(SUBSTITUTE(SUBSTITUTE(SUBSTITUTE(REGEXREPLACE(SUBSTITUTE(SUBSTITUTE(SUBSTITUTE(SUBSTITUTE(REGEXREPLACE(I345, ""(\[([ROYGBPTQUXZC_]|1?[0-9])\])"", ""[img=45]res://textures/icons/$2.png[/img]""),""--"",""—""),""-&gt;"",""•""),""~@"", CONCATENATE(""["&amp;"i]"",REGEXEXTRACT(B345,""^([\s\S]*),|$""),""[/i]"")),""~"", CONCATENATE(""[i]"",B345,""[/i]"")),""(\([\s\S]*?\))"",""[i][color=#34343A]$0[/color][/i]""), ""&lt;"", ""[""), ""&gt;"", ""]""), ""[/p][p]"", ""[font_size=15]\n\n[/font_size]""), ""[br/]"", ""\n"")"),"[center][u]Append to Opponent's Effect [img=45]res://textures/icons/5.png[/img][/u] [i][color=#34343A](As an opponent deploys an effect you may reveal [i]Planned Ejection[/i] and pay [img=45]res://textures/icons/5.png[/img]. If you do add this card's effe"&amp;"cts as it resolves; it loses those effects once it leaves the stack.)[/color][/i][/center][p]Choose an asset; until end of turn, set it aside.[/p]")</f>
        <v xml:space="preserve">[center][u]Append to Opponent's Effect [img=45]res://textures/icons/5.png[/img][/u] [i][color=#34343A](As an opponent deploys an effect you may reveal [i]Planned Ejection[/i] and pay [img=45]res://textures/icons/5.png[/img]. If you do add this card's effects as it resolves; it loses those effects once it leaves the stack.)[/color][/i][/center][p]Choose an asset; until end of turn, set it aside.[/p]</v>
      </c>
      <c r="W345" s="4" t="str">
        <f t="shared" si="21"/>
        <v>[i]Effect[/i]</v>
      </c>
      <c r="X345" s="4" t="str">
        <f t="shared" si="22"/>
        <v>RT_CR_007</v>
      </c>
      <c r="Y345" s="4"/>
      <c r="Z345" s="4"/>
      <c r="AA345" s="4"/>
      <c r="AB345" s="4"/>
    </row>
    <row r="346">
      <c r="A346" s="4" t="s">
        <v>1338</v>
      </c>
      <c r="B346" s="4" t="s">
        <v>1339</v>
      </c>
      <c r="C346" s="5" t="s">
        <v>50</v>
      </c>
      <c r="D346" s="6" t="str">
        <f>IFERROR(__xludf.DUMMYFUNCTION("IF(EQ(A346,B346),"""",SWITCH(IF(T346="""",0,COUNTA(SPLIT(T346,"" ""))),0,""Generic"",1,TRIM(T346),2,""Multicolor"",3,""Multicolor"",4,""Multicolor"",5,""Multicolor"",6,""Multicolor"",7,""Multicolor"",8,""Multicolor""))"),"Generic")</f>
        <v>Generic</v>
      </c>
      <c r="E346" s="4" t="s">
        <v>51</v>
      </c>
      <c r="F346" s="4" t="s">
        <v>26</v>
      </c>
      <c r="G346" s="4" t="s">
        <v>713</v>
      </c>
      <c r="H346" s="5" t="s">
        <v>129</v>
      </c>
      <c r="I346" s="7" t="s">
        <v>1340</v>
      </c>
      <c r="J346" s="7"/>
      <c r="K346" s="8">
        <v>2</v>
      </c>
      <c r="L346" s="8">
        <v>2</v>
      </c>
      <c r="M346" s="4"/>
      <c r="N346" s="4"/>
      <c r="O346" s="7"/>
      <c r="P346" s="4"/>
      <c r="Q346" s="8">
        <v>45</v>
      </c>
      <c r="R346" s="8">
        <v>50</v>
      </c>
      <c r="S346" s="4" t="str">
        <f t="shared" si="20"/>
        <v>True</v>
      </c>
      <c r="T346" s="4" t="str">
        <f>IFERROR(__xludf.DUMMYFUNCTION("CONCATENATE(if(REGEXMATCH(C346,""R""),"" Red"",""""),if(REGEXMATCH(C346,""O""),"" Orange"",""""),if(REGEXMATCH(C346,""Y""),"" Yellow"",""""),if(REGEXMATCH(C346,""G""),"" Green"",""""),if(REGEXMATCH(C346,""B""),"" Blue"",""""),if(REGEXMATCH(C346,""P""),"" "&amp;"Purple"",""""))"),"")</f>
        <v/>
      </c>
      <c r="U346" s="4" t="str">
        <f>IFERROR(__xludf.DUMMYFUNCTION("TRIM(CONCAT(""[right]"", REGEXREPLACE(C346, ""([ROYGBPXZC_]|1?[0-9])"", ""[img=119]res://textures/icons/$0.png[/img]\\n"")))"),"[right][img=119]res://textures/icons/1.png[/img]\n")</f>
        <v>[right][img=119]res://textures/icons/1.png[/img]\n</v>
      </c>
      <c r="V346" s="4" t="str">
        <f>IFERROR(__xludf.DUMMYFUNCTION("SUBSTITUTE(SUBSTITUTE(SUBSTITUTE(SUBSTITUTE(REGEXREPLACE(SUBSTITUTE(SUBSTITUTE(SUBSTITUTE(SUBSTITUTE(REGEXREPLACE(I346, ""(\[([ROYGBPTQUXZC_]|1?[0-9])\])"", ""[img=45]res://textures/icons/$2.png[/img]""),""--"",""—""),""-&gt;"",""•""),""~@"", CONCATENATE(""["&amp;"i]"",REGEXEXTRACT(B346,""^([\s\S]*),|$""),""[/i]"")),""~"", CONCATENATE(""[i]"",B346,""[/i]"")),""(\([\s\S]*?\))"",""[i][color=#34343A]$0[/color][/i]""), ""&lt;"", ""[""), ""&gt;"", ""]""), ""[/p][p]"", ""[font_size=15]\n\n[/font_size]""), ""[br/]"", ""\n"")"),"[center][u]Vehicle[/u] [i][color=#34343A](When [i]Public Transportation[/i] enters the battlefield, you may choose another asset to attach it to. The combined unit has all effects of both assets, and the highest attack power, health, and ranged status of "&amp;"the two.)[/color][/i], [u]Rush[/u] [i][color=#34343A]([i]Public Transportation[/i] can attack and intercept as soon as it resolves, but it can't be explicitly exhausted that turn.)[/color][/i][/center]")</f>
        <v xml:space="preserve">[center][u]Vehicle[/u] [i][color=#34343A](When [i]Public Transportation[/i] enters the battlefield, you may choose another asset to attach it to. The combined unit has all effects of both assets, and the highest attack power, health, and ranged status of the two.)[/color][/i], [u]Rush[/u] [i][color=#34343A]([i]Public Transportation[/i] can attack and intercept as soon as it resolves, but it can't be explicitly exhausted that turn.)[/color][/i][/center]</v>
      </c>
      <c r="W346" s="4" t="str">
        <f t="shared" si="21"/>
        <v>[i]Asset[/i]</v>
      </c>
      <c r="X346" s="4" t="str">
        <f t="shared" si="22"/>
        <v>RT_CU_001</v>
      </c>
      <c r="Y346" s="4"/>
      <c r="Z346" s="4"/>
      <c r="AA346" s="4"/>
      <c r="AB346" s="4"/>
    </row>
    <row r="347">
      <c r="A347" s="4" t="s">
        <v>1341</v>
      </c>
      <c r="B347" s="4" t="s">
        <v>1342</v>
      </c>
      <c r="C347" s="5" t="s">
        <v>134</v>
      </c>
      <c r="D347" s="6" t="str">
        <f>IFERROR(__xludf.DUMMYFUNCTION("IF(EQ(A347,B347),"""",SWITCH(IF(T347="""",0,COUNTA(SPLIT(T347,"" ""))),0,""Generic"",1,TRIM(T347),2,""Multicolor"",3,""Multicolor"",4,""Multicolor"",5,""Multicolor"",6,""Multicolor"",7,""Multicolor"",8,""Multicolor""))"),"Generic")</f>
        <v>Generic</v>
      </c>
      <c r="E347" s="4"/>
      <c r="F347" s="4" t="s">
        <v>26</v>
      </c>
      <c r="G347" s="4" t="s">
        <v>1343</v>
      </c>
      <c r="H347" s="5" t="s">
        <v>1308</v>
      </c>
      <c r="I347" s="7" t="s">
        <v>1344</v>
      </c>
      <c r="J347" s="7" t="s">
        <v>1345</v>
      </c>
      <c r="K347" s="4" t="s">
        <v>29</v>
      </c>
      <c r="L347" s="4" t="s">
        <v>29</v>
      </c>
      <c r="M347" s="4"/>
      <c r="N347" s="4"/>
      <c r="O347" s="4"/>
      <c r="P347" s="4"/>
      <c r="Q347" s="8">
        <v>45</v>
      </c>
      <c r="R347" s="8">
        <v>50</v>
      </c>
      <c r="S347" s="4" t="str">
        <f t="shared" si="20"/>
        <v>False</v>
      </c>
      <c r="T347" s="4" t="str">
        <f>IFERROR(__xludf.DUMMYFUNCTION("CONCATENATE(if(REGEXMATCH(C347,""R""),"" Red"",""""),if(REGEXMATCH(C347,""O""),"" Orange"",""""),if(REGEXMATCH(C347,""Y""),"" Yellow"",""""),if(REGEXMATCH(C347,""G""),"" Green"",""""),if(REGEXMATCH(C347,""B""),"" Blue"",""""),if(REGEXMATCH(C347,""P""),"" "&amp;"Purple"",""""))"),"")</f>
        <v/>
      </c>
      <c r="U347" s="4" t="str">
        <f>IFERROR(__xludf.DUMMYFUNCTION("TRIM(CONCAT(""[right]"", REGEXREPLACE(C347, ""([ROYGBPXZC_]|1?[0-9])"", ""[img=119]res://textures/icons/$0.png[/img]\\n"")))"),"[right][img=119]res://textures/icons/4.png[/img]\n")</f>
        <v>[right][img=119]res://textures/icons/4.png[/img]\n</v>
      </c>
      <c r="V347" s="4" t="str">
        <f>IFERROR(__xludf.DUMMYFUNCTION("SUBSTITUTE(SUBSTITUTE(SUBSTITUTE(SUBSTITUTE(REGEXREPLACE(SUBSTITUTE(SUBSTITUTE(SUBSTITUTE(SUBSTITUTE(REGEXREPLACE(I347, ""(\[([ROYGBPTQUXZC_]|1?[0-9])\])"", ""[img=45]res://textures/icons/$2.png[/img]""),""--"",""—""),""-&gt;"",""•""),""~@"", CONCATENATE(""["&amp;"i]"",REGEXEXTRACT(B347,""^([\s\S]*),|$""),""[/i]"")),""~"", CONCATENATE(""[i]"",B347,""[/i]"")),""(\([\s\S]*?\))"",""[i][color=#34343A]$0[/color][/i]""), ""&lt;"", ""[""), ""&gt;"", ""]""), ""[/p][p]"", ""[font_size=15]\n\n[/font_size]""), ""[br/]"", ""\n"")"),"[center][u]Ammo 2[/u], [u]Gun[/u] [i][color=#34343A](As long as [i]Standard Issue Big Gun[/i] has ammo, the attached asset is ranged.)[/color][/i], [u]Tradeable[/u][/center][p]When [i]Standard Issue Big Gun[/i] enters the battlefield, choose an asset to a"&amp;"ttach it to.[font_size=15]\n\n[/font_size]As long as [i]Standard Issue Big Gun[/i] has ammo, the attached asset gets +5/+0 and ""Whenever this asset kills a combatant, each combatant adjacent to the killed asset permanently loses -1/-1.""[/p]")</f>
        <v xml:space="preserve">[center][u]Ammo 2[/u], [u]Gun[/u] [i][color=#34343A](As long as [i]Standard Issue Big Gun[/i] has ammo, the attached asset is ranged.)[/color][/i], [u]Tradeable[/u][/center][p]When [i]Standard Issue Big Gun[/i] enters the battlefield, choose an asset to attach it to.[font_size=15]\n\n[/font_size]As long as [i]Standard Issue Big Gun[/i] has ammo, the attached asset gets +5/+0 and "Whenever this asset kills a combatant, each combatant adjacent to the killed asset permanently loses -1/-1."[/p]</v>
      </c>
      <c r="W347" s="4" t="str">
        <f t="shared" si="21"/>
        <v>[i]Asset[/i]</v>
      </c>
      <c r="X347" s="4" t="str">
        <f t="shared" si="22"/>
        <v>RT_CU_002</v>
      </c>
      <c r="Y347" s="4"/>
      <c r="Z347" s="4"/>
      <c r="AA347" s="4"/>
      <c r="AB347" s="4"/>
    </row>
    <row r="348">
      <c r="A348" s="4" t="s">
        <v>1346</v>
      </c>
      <c r="B348" s="4" t="s">
        <v>1347</v>
      </c>
      <c r="C348" s="5" t="s">
        <v>129</v>
      </c>
      <c r="D348" s="6" t="str">
        <f>IFERROR(__xludf.DUMMYFUNCTION("IF(EQ(A348,B348),"""",SWITCH(IF(T348="""",0,COUNTA(SPLIT(T348,"" ""))),0,""Generic"",1,TRIM(T348),2,""Multicolor"",3,""Multicolor"",4,""Multicolor"",5,""Multicolor"",6,""Multicolor"",7,""Multicolor"",8,""Multicolor""))"),"Generic")</f>
        <v>Generic</v>
      </c>
      <c r="E348" s="4" t="s">
        <v>79</v>
      </c>
      <c r="F348" s="4" t="s">
        <v>26</v>
      </c>
      <c r="G348" s="4" t="s">
        <v>124</v>
      </c>
      <c r="H348" s="5" t="s">
        <v>129</v>
      </c>
      <c r="I348" s="7" t="s">
        <v>1348</v>
      </c>
      <c r="J348" s="7"/>
      <c r="K348" s="8">
        <v>4</v>
      </c>
      <c r="L348" s="8">
        <v>4</v>
      </c>
      <c r="M348" s="4"/>
      <c r="N348" s="4"/>
      <c r="O348" s="4"/>
      <c r="P348" s="4"/>
      <c r="Q348" s="8">
        <v>60</v>
      </c>
      <c r="R348" s="8">
        <v>40</v>
      </c>
      <c r="S348" s="4" t="str">
        <f t="shared" si="20"/>
        <v>True</v>
      </c>
      <c r="T348" s="4" t="str">
        <f>IFERROR(__xludf.DUMMYFUNCTION("CONCATENATE(if(REGEXMATCH(C348,""R""),"" Red"",""""),if(REGEXMATCH(C348,""O""),"" Orange"",""""),if(REGEXMATCH(C348,""Y""),"" Yellow"",""""),if(REGEXMATCH(C348,""G""),"" Green"",""""),if(REGEXMATCH(C348,""B""),"" Blue"",""""),if(REGEXMATCH(C348,""P""),"" "&amp;"Purple"",""""))"),"")</f>
        <v/>
      </c>
      <c r="U348" s="4" t="str">
        <f>IFERROR(__xludf.DUMMYFUNCTION("TRIM(CONCAT(""[right]"", REGEXREPLACE(C348, ""([ROYGBPXZC_]|1?[0-9])"", ""[img=119]res://textures/icons/$0.png[/img]\\n"")))"),"[right][img=119]res://textures/icons/5.png[/img]\n")</f>
        <v>[right][img=119]res://textures/icons/5.png[/img]\n</v>
      </c>
      <c r="V348" s="4" t="str">
        <f>IFERROR(__xludf.DUMMYFUNCTION("SUBSTITUTE(SUBSTITUTE(SUBSTITUTE(SUBSTITUTE(REGEXREPLACE(SUBSTITUTE(SUBSTITUTE(SUBSTITUTE(SUBSTITUTE(REGEXREPLACE(I348, ""(\[([ROYGBPTQUXZC_]|1?[0-9])\])"", ""[img=45]res://textures/icons/$2.png[/img]""),""--"",""—""),""-&gt;"",""•""),""~@"", CONCATENATE(""["&amp;"i]"",REGEXEXTRACT(B348,""^([\s\S]*),|$""),""[/i]"")),""~"", CONCATENATE(""[i]"",B348,""[/i]"")),""(\([\s\S]*?\))"",""[i][color=#34343A]$0[/color][/i]""), ""&lt;"", ""[""), ""&gt;"", ""]""), ""[/p][p]"", ""[font_size=15]\n\n[/font_size]""), ""[br/]"", ""\n"")"),"[center][u]Vehicle[/u] [i][color=#34343A](When [i]Space Shuttle[/i] enters the battlefield, you may choose another asset to attach it to. The combined unit has all effects of both assets, and the highest attack power, health, and ranged status of the two."&amp;")[/color][/i], [u]Spacecraft[/u] [i][color=#34343A](Space Shuttle can only intercept or be intercepted by assets with spacecraft.)[/color][/i][/center]")</f>
        <v xml:space="preserve">[center][u]Vehicle[/u] [i][color=#34343A](When [i]Space Shuttle[/i] enters the battlefield, you may choose another asset to attach it to. The combined unit has all effects of both assets, and the highest attack power, health, and ranged status of the two.)[/color][/i], [u]Spacecraft[/u] [i][color=#34343A](Space Shuttle can only intercept or be intercepted by assets with spacecraft.)[/color][/i][/center]</v>
      </c>
      <c r="W348" s="4" t="str">
        <f t="shared" si="21"/>
        <v>[i]Asset[/i]</v>
      </c>
      <c r="X348" s="4" t="str">
        <f t="shared" si="22"/>
        <v>RT_CU_003</v>
      </c>
      <c r="Y348" s="4"/>
      <c r="Z348" s="4"/>
      <c r="AA348" s="4"/>
      <c r="AB348" s="4"/>
    </row>
    <row r="349">
      <c r="A349" s="4" t="s">
        <v>1349</v>
      </c>
      <c r="B349" s="4" t="s">
        <v>1350</v>
      </c>
      <c r="C349" s="5" t="s">
        <v>44</v>
      </c>
      <c r="D349" s="6" t="str">
        <f>IFERROR(__xludf.DUMMYFUNCTION("IF(EQ(A349,B349),"""",SWITCH(IF(T349="""",0,COUNTA(SPLIT(T349,"" ""))),0,""Generic"",1,TRIM(T349),2,""Multicolor"",3,""Multicolor"",4,""Multicolor"",5,""Multicolor"",6,""Multicolor"",7,""Multicolor"",8,""Multicolor""))"),"Generic")</f>
        <v>Generic</v>
      </c>
      <c r="E349" s="4"/>
      <c r="F349" s="4" t="s">
        <v>26</v>
      </c>
      <c r="G349" s="4" t="s">
        <v>138</v>
      </c>
      <c r="H349" s="5" t="s">
        <v>129</v>
      </c>
      <c r="I349" s="7" t="s">
        <v>1351</v>
      </c>
      <c r="J349" s="7"/>
      <c r="K349" s="4" t="s">
        <v>29</v>
      </c>
      <c r="L349" s="4" t="s">
        <v>29</v>
      </c>
      <c r="M349" s="4"/>
      <c r="N349" s="4"/>
      <c r="O349" s="4"/>
      <c r="P349" s="4"/>
      <c r="Q349" s="8">
        <v>45</v>
      </c>
      <c r="R349" s="8">
        <v>50</v>
      </c>
      <c r="S349" s="4" t="str">
        <f t="shared" si="20"/>
        <v>False</v>
      </c>
      <c r="T349" s="4" t="str">
        <f>IFERROR(__xludf.DUMMYFUNCTION("CONCATENATE(if(REGEXMATCH(C349,""R""),"" Red"",""""),if(REGEXMATCH(C349,""O""),"" Orange"",""""),if(REGEXMATCH(C349,""Y""),"" Yellow"",""""),if(REGEXMATCH(C349,""G""),"" Green"",""""),if(REGEXMATCH(C349,""B""),"" Blue"",""""),if(REGEXMATCH(C349,""P""),"" "&amp;"Purple"",""""))"),"")</f>
        <v/>
      </c>
      <c r="U349" s="4" t="str">
        <f>IFERROR(__xludf.DUMMYFUNCTION("TRIM(CONCAT(""[right]"", REGEXREPLACE(C349, ""([ROYGBPXZC_]|1?[0-9])"", ""[img=119]res://textures/icons/$0.png[/img]\\n"")))"),"[right][img=119]res://textures/icons/2.png[/img]\n")</f>
        <v>[right][img=119]res://textures/icons/2.png[/img]\n</v>
      </c>
      <c r="V349" s="4" t="str">
        <f>IFERROR(__xludf.DUMMYFUNCTION("SUBSTITUTE(SUBSTITUTE(SUBSTITUTE(SUBSTITUTE(REGEXREPLACE(SUBSTITUTE(SUBSTITUTE(SUBSTITUTE(SUBSTITUTE(REGEXREPLACE(I349, ""(\[([ROYGBPTQUXZC_]|1?[0-9])\])"", ""[img=45]res://textures/icons/$2.png[/img]""),""--"",""—""),""-&gt;"",""•""),""~@"", CONCATENATE(""["&amp;"i]"",REGEXEXTRACT(B349,""^([\s\S]*),|$""),""[/i]"")),""~"", CONCATENATE(""[i]"",B349,""[/i]"")),""(\([\s\S]*?\))"",""[i][color=#34343A]$0[/color][/i]""), ""&lt;"", ""[""), ""&gt;"", ""]""), ""[/p][p]"", ""[font_size=15]\n\n[/font_size]""), ""[br/]"", ""\n"")"),"[p]Whenever a combatant enters the battlefield, you may attach [i]New Hire Welcoming Party[/i] to it.[font_size=15]\n\n[/font_size]Whenever you hire a card as a generator, until end of turn, the attached asset gets +2/+2.[/p]")</f>
        <v xml:space="preserve">[p]Whenever a combatant enters the battlefield, you may attach [i]New Hire Welcoming Party[/i] to it.[font_size=15]\n\n[/font_size]Whenever you hire a card as a generator, until end of turn, the attached asset gets +2/+2.[/p]</v>
      </c>
      <c r="W349" s="4" t="str">
        <f t="shared" si="21"/>
        <v>[i]Asset[/i]</v>
      </c>
      <c r="X349" s="4" t="str">
        <f t="shared" si="22"/>
        <v>RT_CU_005</v>
      </c>
      <c r="Y349" s="4"/>
      <c r="Z349" s="4"/>
      <c r="AA349" s="4"/>
      <c r="AB349" s="4"/>
    </row>
    <row r="350">
      <c r="A350" s="4" t="s">
        <v>1352</v>
      </c>
      <c r="B350" s="4" t="s">
        <v>1353</v>
      </c>
      <c r="C350" s="5" t="s">
        <v>44</v>
      </c>
      <c r="D350" s="6" t="str">
        <f>IFERROR(__xludf.DUMMYFUNCTION("IF(EQ(A350,B350),"""",SWITCH(IF(T350="""",0,COUNTA(SPLIT(T350,"" ""))),0,""Generic"",1,TRIM(T350),2,""Multicolor"",3,""Multicolor"",4,""Multicolor"",5,""Multicolor"",6,""Multicolor"",7,""Multicolor"",8,""Multicolor""))"),"Generic")</f>
        <v>Generic</v>
      </c>
      <c r="E350" s="4"/>
      <c r="F350" s="4" t="s">
        <v>26</v>
      </c>
      <c r="G350" s="4" t="s">
        <v>1354</v>
      </c>
      <c r="H350" s="5" t="s">
        <v>129</v>
      </c>
      <c r="I350" s="7" t="s">
        <v>1355</v>
      </c>
      <c r="J350" s="7"/>
      <c r="K350" s="4" t="s">
        <v>29</v>
      </c>
      <c r="L350" s="4" t="s">
        <v>29</v>
      </c>
      <c r="M350" s="4"/>
      <c r="N350" s="4"/>
      <c r="O350" s="4"/>
      <c r="P350" s="4"/>
      <c r="Q350" s="8">
        <v>60</v>
      </c>
      <c r="R350" s="8">
        <v>50</v>
      </c>
      <c r="S350" s="4" t="str">
        <f t="shared" si="20"/>
        <v>False</v>
      </c>
      <c r="T350" s="4" t="str">
        <f>IFERROR(__xludf.DUMMYFUNCTION("CONCATENATE(if(REGEXMATCH(C350,""R""),"" Red"",""""),if(REGEXMATCH(C350,""O""),"" Orange"",""""),if(REGEXMATCH(C350,""Y""),"" Yellow"",""""),if(REGEXMATCH(C350,""G""),"" Green"",""""),if(REGEXMATCH(C350,""B""),"" Blue"",""""),if(REGEXMATCH(C350,""P""),"" "&amp;"Purple"",""""))"),"")</f>
        <v/>
      </c>
      <c r="U350" s="4" t="str">
        <f>IFERROR(__xludf.DUMMYFUNCTION("TRIM(CONCAT(""[right]"", REGEXREPLACE(C350, ""([ROYGBPXZC_]|1?[0-9])"", ""[img=119]res://textures/icons/$0.png[/img]\\n"")))"),"[right][img=119]res://textures/icons/2.png[/img]\n")</f>
        <v>[right][img=119]res://textures/icons/2.png[/img]\n</v>
      </c>
      <c r="V350" s="4" t="str">
        <f>IFERROR(__xludf.DUMMYFUNCTION("SUBSTITUTE(SUBSTITUTE(SUBSTITUTE(SUBSTITUTE(REGEXREPLACE(SUBSTITUTE(SUBSTITUTE(SUBSTITUTE(SUBSTITUTE(REGEXREPLACE(I350, ""(\[([ROYGBPTQUXZC_]|1?[0-9])\])"", ""[img=45]res://textures/icons/$2.png[/img]""),""--"",""—""),""-&gt;"",""•""),""~@"", CONCATENATE(""["&amp;"i]"",REGEXEXTRACT(B350,""^([\s\S]*),|$""),""[/i]"")),""~"", CONCATENATE(""[i]"",B350,""[/i]"")),""(\([\s\S]*?\))"",""[i][color=#34343A]$0[/color][/i]""), ""&lt;"", ""[""), ""&gt;"", ""]""), ""[/p][p]"", ""[font_size=15]\n\n[/font_size]""), ""[br/]"", ""\n"")"),"[center][u]Tradeable[/u] [i][color=#34343A](Once each turn, you may pay [i]Business Laptop[/i]'s cost, if you do choose another asset; attach [i]Business Laptop[/i] to it.)[/color][/i][/center][p]When [i]Business Laptop[/i] enters the battlefield, choose "&amp;"an asset to attach it to.[font_size=15]\n\n[/font_size]Whenever the attached asset deals combat damage to a commander, draw a card.[/p]")</f>
        <v xml:space="preserve">[center][u]Tradeable[/u] [i][color=#34343A](Once each turn, you may pay [i]Business Laptop[/i]'s cost, if you do choose another asset; attach [i]Business Laptop[/i] to it.)[/color][/i][/center][p]When [i]Business Laptop[/i] enters the battlefield, choose an asset to attach it to.[font_size=15]\n\n[/font_size]Whenever the attached asset deals combat damage to a commander, draw a card.[/p]</v>
      </c>
      <c r="W350" s="4" t="str">
        <f t="shared" si="21"/>
        <v>[i]Asset[/i]</v>
      </c>
      <c r="X350" s="4" t="str">
        <f t="shared" si="22"/>
        <v>RT_CU_006</v>
      </c>
      <c r="Y350" s="4"/>
      <c r="Z350" s="4"/>
      <c r="AA350" s="4"/>
      <c r="AB350" s="4"/>
    </row>
    <row r="351">
      <c r="A351" s="4" t="s">
        <v>1356</v>
      </c>
      <c r="B351" s="4" t="s">
        <v>1357</v>
      </c>
      <c r="C351" s="5" t="s">
        <v>32</v>
      </c>
      <c r="D351" s="6" t="str">
        <f>IFERROR(__xludf.DUMMYFUNCTION("IF(EQ(A351,B351),"""",SWITCH(IF(T351="""",0,COUNTA(SPLIT(T351,"" ""))),0,""Generic"",1,TRIM(T351),2,""Multicolor"",3,""Multicolor"",4,""Multicolor"",5,""Multicolor"",6,""Multicolor"",7,""Multicolor"",8,""Multicolor""))"),"Generic")</f>
        <v>Generic</v>
      </c>
      <c r="E351" s="4"/>
      <c r="F351" s="4" t="s">
        <v>26</v>
      </c>
      <c r="G351" s="4" t="s">
        <v>1358</v>
      </c>
      <c r="H351" s="5" t="s">
        <v>129</v>
      </c>
      <c r="I351" s="10" t="s">
        <v>1359</v>
      </c>
      <c r="J351" s="7"/>
      <c r="K351" s="4"/>
      <c r="L351" s="4"/>
      <c r="M351" s="4"/>
      <c r="N351" s="4"/>
      <c r="O351" s="18"/>
      <c r="P351" s="4"/>
      <c r="Q351" s="8">
        <v>60</v>
      </c>
      <c r="R351" s="8">
        <v>50</v>
      </c>
      <c r="S351" s="4" t="str">
        <f t="shared" si="20"/>
        <v>False</v>
      </c>
      <c r="T351" s="4" t="str">
        <f>IFERROR(__xludf.DUMMYFUNCTION("CONCATENATE(if(REGEXMATCH(C351,""R""),"" Red"",""""),if(REGEXMATCH(C351,""O""),"" Orange"",""""),if(REGEXMATCH(C351,""Y""),"" Yellow"",""""),if(REGEXMATCH(C351,""G""),"" Green"",""""),if(REGEXMATCH(C351,""B""),"" Blue"",""""),if(REGEXMATCH(C351,""P""),"" "&amp;"Purple"",""""))"),"")</f>
        <v/>
      </c>
      <c r="U351" s="4" t="str">
        <f>IFERROR(__xludf.DUMMYFUNCTION("TRIM(CONCAT(""[right]"", REGEXREPLACE(C351, ""([ROYGBPXZC_]|1?[0-9])"", ""[img=119]res://textures/icons/$0.png[/img]\\n"")))"),"[right][img=119]res://textures/icons/3.png[/img]\n")</f>
        <v>[right][img=119]res://textures/icons/3.png[/img]\n</v>
      </c>
      <c r="V351" s="4" t="str">
        <f>IFERROR(__xludf.DUMMYFUNCTION("SUBSTITUTE(SUBSTITUTE(SUBSTITUTE(SUBSTITUTE(REGEXREPLACE(SUBSTITUTE(SUBSTITUTE(SUBSTITUTE(SUBSTITUTE(REGEXREPLACE(I351, ""(\[([ROYGBPTQUXZC_]|1?[0-9])\])"", ""[img=45]res://textures/icons/$2.png[/img]""),""--"",""—""),""-&gt;"",""•""),""~@"", CONCATENATE(""["&amp;"i]"",REGEXEXTRACT(B351,""^([\s\S]*),|$""),""[/i]"")),""~"", CONCATENATE(""[i]"",B351,""[/i]"")),""(\([\s\S]*?\))"",""[i][color=#34343A]$0[/color][/i]""), ""&lt;"", ""[""), ""&gt;"", ""]""), ""[/p][p]"", ""[font_size=15]\n\n[/font_size]""), ""[br/]"", ""\n"")"),"The next time any number of vehicles attack, you may kill one of them, then [u]forfeit[/u] [i][color=#34343A](Put the specified card into its owner's discard.)[/color][/i] [i]Roadside Bomb[/i].")</f>
        <v xml:space="preserve">The next time any number of vehicles attack, you may kill one of them, then [u]forfeit[/u] [i][color=#34343A](Put the specified card into its owner's discard.)[/color][/i] [i]Roadside Bomb[/i].</v>
      </c>
      <c r="W351" s="4" t="str">
        <f t="shared" si="21"/>
        <v>[i]Asset[/i]</v>
      </c>
      <c r="X351" s="4" t="str">
        <f t="shared" si="22"/>
        <v>RT_CU_007</v>
      </c>
      <c r="Y351" s="4"/>
      <c r="Z351" s="4"/>
      <c r="AA351" s="4"/>
      <c r="AB351" s="4"/>
    </row>
    <row r="352">
      <c r="A352" s="4" t="s">
        <v>1360</v>
      </c>
      <c r="B352" s="4" t="s">
        <v>1361</v>
      </c>
      <c r="C352" s="5" t="s">
        <v>32</v>
      </c>
      <c r="D352" s="6" t="str">
        <f>IFERROR(__xludf.DUMMYFUNCTION("IF(EQ(A352,B352),"""",SWITCH(IF(T352="""",0,COUNTA(SPLIT(T352,"" ""))),0,""Generic"",1,TRIM(T352),2,""Multicolor"",3,""Multicolor"",4,""Multicolor"",5,""Multicolor"",6,""Multicolor"",7,""Multicolor"",8,""Multicolor""))"),"Generic")</f>
        <v>Generic</v>
      </c>
      <c r="E352" s="1" t="s">
        <v>802</v>
      </c>
      <c r="F352" s="4" t="s">
        <v>26</v>
      </c>
      <c r="G352" s="4" t="s">
        <v>1362</v>
      </c>
      <c r="H352" s="5" t="s">
        <v>129</v>
      </c>
      <c r="I352" s="7" t="s">
        <v>1363</v>
      </c>
      <c r="J352" s="7"/>
      <c r="K352" s="4">
        <v>6</v>
      </c>
      <c r="L352" s="4">
        <v>4</v>
      </c>
      <c r="M352" s="4"/>
      <c r="N352" s="4"/>
      <c r="O352" s="18"/>
      <c r="P352" s="4"/>
      <c r="Q352" s="8">
        <v>60</v>
      </c>
      <c r="R352" s="8">
        <v>50</v>
      </c>
      <c r="S352" s="4" t="str">
        <f t="shared" si="20"/>
        <v>True</v>
      </c>
      <c r="T352" s="4" t="str">
        <f>IFERROR(__xludf.DUMMYFUNCTION("CONCATENATE(if(REGEXMATCH(C352,""R""),"" Red"",""""),if(REGEXMATCH(C352,""O""),"" Orange"",""""),if(REGEXMATCH(C352,""Y""),"" Yellow"",""""),if(REGEXMATCH(C352,""G""),"" Green"",""""),if(REGEXMATCH(C352,""B""),"" Blue"",""""),if(REGEXMATCH(C352,""P""),"" "&amp;"Purple"",""""))"),"")</f>
        <v/>
      </c>
      <c r="U352" s="4" t="str">
        <f>IFERROR(__xludf.DUMMYFUNCTION("TRIM(CONCAT(""[right]"", REGEXREPLACE(C352, ""([ROYGBPXZC_]|1?[0-9])"", ""[img=119]res://textures/icons/$0.png[/img]\\n"")))"),"[right][img=119]res://textures/icons/3.png[/img]\n")</f>
        <v>[right][img=119]res://textures/icons/3.png[/img]\n</v>
      </c>
      <c r="V352" s="4" t="str">
        <f>IFERROR(__xludf.DUMMYFUNCTION("SUBSTITUTE(SUBSTITUTE(SUBSTITUTE(SUBSTITUTE(REGEXREPLACE(SUBSTITUTE(SUBSTITUTE(SUBSTITUTE(SUBSTITUTE(REGEXREPLACE(I352, ""(\[([ROYGBPTQUXZC_]|1?[0-9])\])"", ""[img=45]res://textures/icons/$2.png[/img]""),""--"",""—""),""-&gt;"",""•""),""~@"", CONCATENATE(""["&amp;"i]"",REGEXEXTRACT(B352,""^([\s\S]*),|$""),""[/i]"")),""~"", CONCATENATE(""[i]"",B352,""[/i]"")),""(\([\s\S]*?\))"",""[i][color=#34343A]$0[/color][/i]""), ""&lt;"", ""[""), ""&gt;"", ""]""), ""[/p][p]"", ""[font_size=15]\n\n[/font_size]""), ""[br/]"", ""\n"")"),"[center][u]Flying[/u], [u]Formation[/u] [i][color=#34343A](Cards with Formation have their ranged status determined by their place in their formation; a formation consists of a mandatory melee card at the front and up to 2 ranged cards at the back. The at"&amp;"tack power of the formation is the sum of all combatants in the formation. Combat damage is dealt to the front combatant before the back combatants. Formations can only be formed anytime you could reorganize units.)[/color][/i], [u]Vehicle[/u][/center]")</f>
        <v xml:space="preserve">[center][u]Flying[/u], [u]Formation[/u] [i][color=#34343A](Cards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units.)[/color][/i], [u]Vehicle[/u][/center]</v>
      </c>
      <c r="W352" s="4" t="str">
        <f t="shared" si="21"/>
        <v>[i]Asset[/i]</v>
      </c>
      <c r="X352" s="4" t="str">
        <f t="shared" si="22"/>
        <v>RT_CU_008</v>
      </c>
      <c r="Y352" s="4"/>
      <c r="Z352" s="4"/>
      <c r="AA352" s="4"/>
      <c r="AB352" s="4"/>
    </row>
    <row r="353">
      <c r="A353" s="4" t="s">
        <v>1364</v>
      </c>
      <c r="B353" s="4" t="s">
        <v>1365</v>
      </c>
      <c r="C353" s="5" t="s">
        <v>32</v>
      </c>
      <c r="D353" s="6" t="str">
        <f>IFERROR(__xludf.DUMMYFUNCTION("IF(EQ(A353,B353),"""",SWITCH(IF(T353="""",0,COUNTA(SPLIT(T353,"" ""))),0,""Generic"",1,TRIM(T353),2,""Multicolor"",3,""Multicolor"",4,""Multicolor"",5,""Multicolor"",6,""Multicolor"",7,""Multicolor"",8,""Multicolor""))"),"Generic")</f>
        <v>Generic</v>
      </c>
      <c r="E353" s="4" t="s">
        <v>79</v>
      </c>
      <c r="F353" s="4" t="s">
        <v>26</v>
      </c>
      <c r="G353" s="4" t="s">
        <v>748</v>
      </c>
      <c r="H353" s="5" t="s">
        <v>129</v>
      </c>
      <c r="I353" s="7" t="s">
        <v>1366</v>
      </c>
      <c r="J353" s="7"/>
      <c r="K353" s="4">
        <v>4</v>
      </c>
      <c r="L353" s="4">
        <v>4</v>
      </c>
      <c r="M353" s="4"/>
      <c r="N353" s="4"/>
      <c r="O353" s="18"/>
      <c r="P353" s="4"/>
      <c r="Q353" s="8">
        <v>60</v>
      </c>
      <c r="R353" s="8">
        <v>45</v>
      </c>
      <c r="S353" s="4" t="str">
        <f t="shared" si="20"/>
        <v>True</v>
      </c>
      <c r="T353" s="4" t="str">
        <f>IFERROR(__xludf.DUMMYFUNCTION("CONCATENATE(if(REGEXMATCH(C353,""R""),"" Red"",""""),if(REGEXMATCH(C353,""O""),"" Orange"",""""),if(REGEXMATCH(C353,""Y""),"" Yellow"",""""),if(REGEXMATCH(C353,""G""),"" Green"",""""),if(REGEXMATCH(C353,""B""),"" Blue"",""""),if(REGEXMATCH(C353,""P""),"" "&amp;"Purple"",""""))"),"")</f>
        <v/>
      </c>
      <c r="U353" s="4" t="str">
        <f>IFERROR(__xludf.DUMMYFUNCTION("TRIM(CONCAT(""[right]"", REGEXREPLACE(C353, ""([ROYGBPXZC_]|1?[0-9])"", ""[img=119]res://textures/icons/$0.png[/img]\\n"")))"),"[right][img=119]res://textures/icons/3.png[/img]\n")</f>
        <v>[right][img=119]res://textures/icons/3.png[/img]\n</v>
      </c>
      <c r="V353" s="4" t="str">
        <f>IFERROR(__xludf.DUMMYFUNCTION("SUBSTITUTE(SUBSTITUTE(SUBSTITUTE(SUBSTITUTE(REGEXREPLACE(SUBSTITUTE(SUBSTITUTE(SUBSTITUTE(SUBSTITUTE(REGEXREPLACE(I353, ""(\[([ROYGBPTQUXZC_]|1?[0-9])\])"", ""[img=45]res://textures/icons/$2.png[/img]""),""--"",""—""),""-&gt;"",""•""),""~@"", CONCATENATE(""["&amp;"i]"",REGEXEXTRACT(B353,""^([\s\S]*),|$""),""[/i]"")),""~"", CONCATENATE(""[i]"",B353,""[/i]"")),""(\([\s\S]*?\))"",""[i][color=#34343A]$0[/color][/i]""), ""&lt;"", ""[""), ""&gt;"", ""]""), ""[/p][p]"", ""[font_size=15]\n\n[/font_size]""), ""[br/]"", ""\n"")"),"[center]Cards in discards can't be chosen or deployed.[/center]")</f>
        <v xml:space="preserve">[center]Cards in discards can't be chosen or deployed.[/center]</v>
      </c>
      <c r="W353" s="4" t="str">
        <f t="shared" si="21"/>
        <v>[i]Asset[/i]</v>
      </c>
      <c r="X353" s="4" t="str">
        <f t="shared" si="22"/>
        <v>RT_CU_009</v>
      </c>
      <c r="Y353" s="4"/>
      <c r="Z353" s="4"/>
      <c r="AA353" s="4"/>
      <c r="AB353" s="4"/>
    </row>
    <row r="354">
      <c r="A354" s="4" t="s">
        <v>1367</v>
      </c>
      <c r="B354" s="4" t="s">
        <v>1368</v>
      </c>
      <c r="C354" s="5" t="s">
        <v>50</v>
      </c>
      <c r="D354" s="6" t="str">
        <f>IFERROR(__xludf.DUMMYFUNCTION("IF(EQ(A354,B354),"""",SWITCH(IF(T354="""",0,COUNTA(SPLIT(T354,"" ""))),0,""Generic"",1,TRIM(T354),2,""Multicolor"",3,""Multicolor"",4,""Multicolor"",5,""Multicolor"",6,""Multicolor"",7,""Multicolor"",8,""Multicolor""))"),"Generic")</f>
        <v>Generic</v>
      </c>
      <c r="E354" s="4"/>
      <c r="F354" s="4" t="s">
        <v>26</v>
      </c>
      <c r="G354" s="4" t="s">
        <v>1369</v>
      </c>
      <c r="H354" s="5" t="s">
        <v>129</v>
      </c>
      <c r="I354" s="7" t="s">
        <v>1370</v>
      </c>
      <c r="J354" s="7"/>
      <c r="K354" s="4"/>
      <c r="L354" s="4"/>
      <c r="M354" s="4"/>
      <c r="N354" s="4"/>
      <c r="O354" s="18"/>
      <c r="P354" s="4"/>
      <c r="Q354" s="8">
        <v>60</v>
      </c>
      <c r="R354" s="8">
        <v>45</v>
      </c>
      <c r="S354" s="4" t="str">
        <f t="shared" si="20"/>
        <v>False</v>
      </c>
      <c r="T354" s="4" t="str">
        <f>IFERROR(__xludf.DUMMYFUNCTION("CONCATENATE(if(REGEXMATCH(C354,""R""),"" Red"",""""),if(REGEXMATCH(C354,""O""),"" Orange"",""""),if(REGEXMATCH(C354,""Y""),"" Yellow"",""""),if(REGEXMATCH(C354,""G""),"" Green"",""""),if(REGEXMATCH(C354,""B""),"" Blue"",""""),if(REGEXMATCH(C354,""P""),"" "&amp;"Purple"",""""))"),"")</f>
        <v/>
      </c>
      <c r="U354" s="4" t="str">
        <f>IFERROR(__xludf.DUMMYFUNCTION("TRIM(CONCAT(""[right]"", REGEXREPLACE(C354, ""([ROYGBPXZC_]|1?[0-9])"", ""[img=119]res://textures/icons/$0.png[/img]\\n"")))"),"[right][img=119]res://textures/icons/1.png[/img]\n")</f>
        <v>[right][img=119]res://textures/icons/1.png[/img]\n</v>
      </c>
      <c r="V354" s="4" t="str">
        <f>IFERROR(__xludf.DUMMYFUNCTION("SUBSTITUTE(SUBSTITUTE(SUBSTITUTE(SUBSTITUTE(REGEXREPLACE(SUBSTITUTE(SUBSTITUTE(SUBSTITUTE(SUBSTITUTE(REGEXREPLACE(I354, ""(\[([ROYGBPTQUXZC_]|1?[0-9])\])"", ""[img=45]res://textures/icons/$2.png[/img]""),""--"",""—""),""-&gt;"",""•""),""~@"", CONCATENATE(""["&amp;"i]"",REGEXEXTRACT(B354,""^([\s\S]*),|$""),""[/i]"")),""~"", CONCATENATE(""[i]"",B354,""[/i]"")),""(\([\s\S]*?\))"",""[i][color=#34343A]$0[/color][/i]""), ""&lt;"", ""[""), ""&gt;"", ""]""), ""[/p][p]"", ""[font_size=15]\n\n[/font_size]""), ""[br/]"", ""\n"")"),"[p]When [i]Blackmailer[/i] enters the battlefield, name a card; effects of the named card can't be activated.[font_size=15]\n\n[/font_size]When [i]Blackmailer[/i] is put into a vehicle, your opponents reveal their hands.[/p]")</f>
        <v xml:space="preserve">[p]When [i]Blackmailer[/i] enters the battlefield, name a card; effects of the named card can't be activated.[font_size=15]\n\n[/font_size]When [i]Blackmailer[/i] is put into a vehicle, your opponents reveal their hands.[/p]</v>
      </c>
      <c r="W354" s="4" t="str">
        <f t="shared" si="21"/>
        <v>[i]Asset[/i]</v>
      </c>
      <c r="X354" s="4" t="str">
        <f t="shared" si="22"/>
        <v>RT_CU_010</v>
      </c>
      <c r="Y354" s="4"/>
      <c r="Z354" s="4"/>
      <c r="AA354" s="4"/>
      <c r="AB354" s="4"/>
    </row>
    <row r="355">
      <c r="A355" s="1" t="s">
        <v>1371</v>
      </c>
      <c r="B355" s="4" t="s">
        <v>1372</v>
      </c>
      <c r="C355" s="5" t="s">
        <v>44</v>
      </c>
      <c r="D355" s="6" t="str">
        <f>IFERROR(__xludf.DUMMYFUNCTION("IF(ISBLANK(A355),"""",SWITCH(IF(T355="""",0,COUNTA(SPLIT(T355,"" ""))),0,""Generic"",1,TRIM(T355),2,""Multicolor"",3,""Multicolor"",4,""Multicolor"",5,""Multicolor"",6,""Multicolor"",7,""Multicolor"",8,""Multicolor""))"),"Generic")</f>
        <v>Generic</v>
      </c>
      <c r="E355" s="4"/>
      <c r="F355" s="4" t="s">
        <v>26</v>
      </c>
      <c r="G355" s="4" t="s">
        <v>1343</v>
      </c>
      <c r="H355" s="5" t="s">
        <v>129</v>
      </c>
      <c r="I355" s="11" t="s">
        <v>1373</v>
      </c>
      <c r="J355" s="3"/>
      <c r="O355" s="3"/>
      <c r="Q355" s="1">
        <v>60</v>
      </c>
      <c r="R355" s="1">
        <v>50</v>
      </c>
      <c r="S355" s="4" t="str">
        <f t="shared" si="20"/>
        <v>False</v>
      </c>
      <c r="T355" s="4" t="str">
        <f>IFERROR(__xludf.DUMMYFUNCTION("CONCATENATE(if(REGEXMATCH(C355,""R""),"" Red"",""""),if(REGEXMATCH(C355,""O""),"" Orange"",""""),if(REGEXMATCH(C355,""Y""),"" Yellow"",""""),if(REGEXMATCH(C355,""G""),"" Green"",""""),if(REGEXMATCH(C355,""B""),"" Blue"",""""),if(REGEXMATCH(C355,""P""),"" "&amp;"Purple"",""""))"),"")</f>
        <v/>
      </c>
      <c r="U355" s="4" t="str">
        <f>IFERROR(__xludf.DUMMYFUNCTION("TRIM(CONCAT(""[right]"", REGEXREPLACE(C355, ""([ROYGBPXZC_]|1?[0-9])"", ""[img=119]res://textures/icons/$0.png[/img]\\n"")))"),"[right][img=119]res://textures/icons/2.png[/img]\n")</f>
        <v>[right][img=119]res://textures/icons/2.png[/img]\n</v>
      </c>
      <c r="V355" s="4" t="str">
        <f>IFERROR(__xludf.DUMMYFUNCTION("SUBSTITUTE(SUBSTITUTE(SUBSTITUTE(SUBSTITUTE(REGEXREPLACE(SUBSTITUTE(SUBSTITUTE(SUBSTITUTE(SUBSTITUTE(REGEXREPLACE(I355, ""(\[([ROYGBPTQUXZC_]|1?[0-9])\])"", ""[img=45]res://textures/icons/$2.png[/img]""),""--"",""—""),""-&gt;"",""•""),""~@"", CONCATENATE(""["&amp;"i]"",REGEXEXTRACT(B355,""^([\s\S]*),|$""),""[/i]"")),""~"", CONCATENATE(""[i]"",B355,""[/i]"")),""(\([\s\S]*?\))"",""[i][color=#34343A]$0[/color][/i]""), ""&lt;"", ""[""), ""&gt;"", ""]""), ""[/p][p]"", ""[font_size=15]\n\n[/font_size]""), ""[br/]"", ""\n"")"),"[center][u]Tradeable[/u] [i][color=#34343A](Once each turn, you may pay [i]Anti-Orbital Gun[/i]'s cost, if you do choose another combatant; attach [i]Anti-Orbital Gun[/i] to it.)[/color][/i][/center][p]When [i]Anti-Orbital Gun[/i] enters the battlefield, "&amp;"attach it to a combatant of your choice.[font_size=15]\n\n[/font_size]The attached asset gets +1/+0 and [u]anti-orbital[/u] [i][color=#34343A]([i]Anti-Orbital Gun[/i] can intercept assets with spacecraft.)[/color][/i][/p]")</f>
        <v xml:space="preserve">[center][u]Tradeable[/u] [i][color=#34343A](Once each turn, you may pay [i]Anti-Orbital Gun[/i]'s cost, if you do choose another combatant; attach [i]Anti-Orbital Gun[/i] to it.)[/color][/i][/center][p]When [i]Anti-Orbital Gun[/i] enters the battlefield, attach it to a combatant of your choice.[font_size=15]\n\n[/font_size]The attached asset gets +1/+0 and [u]anti-orbital[/u] [i][color=#34343A]([i]Anti-Orbital Gun[/i] can intercept assets with spacecraft.)[/color][/i][/p]</v>
      </c>
      <c r="W355" s="4" t="str">
        <f t="shared" si="21"/>
        <v>[i]Asset[/i]</v>
      </c>
      <c r="X355" s="4" t="str">
        <f t="shared" si="22"/>
        <v>RT_CU_011</v>
      </c>
    </row>
    <row r="356">
      <c r="A356" s="4" t="s">
        <v>1374</v>
      </c>
      <c r="B356" s="4" t="s">
        <v>1375</v>
      </c>
      <c r="C356" s="5" t="s">
        <v>320</v>
      </c>
      <c r="D356" s="6" t="str">
        <f>IFERROR(__xludf.DUMMYFUNCTION("IF(ISBLANK(A356),"""",SWITCH(IF(T356="""",0,COUNTA(SPLIT(T356,"" ""))),0,""Generic"",1,TRIM(T356),2,""Multicolor"",3,""Multicolor"",4,""Multicolor"",5,""Multicolor"",6,""Multicolor"",7,""Multicolor"",8,""Multicolor""))"),"Generic")</f>
        <v>Generic</v>
      </c>
      <c r="E356" s="4"/>
      <c r="F356" s="4" t="s">
        <v>724</v>
      </c>
      <c r="G356" s="4" t="s">
        <v>1299</v>
      </c>
      <c r="H356" s="5" t="s">
        <v>129</v>
      </c>
      <c r="I356" s="7" t="s">
        <v>1376</v>
      </c>
      <c r="J356" s="7"/>
      <c r="K356" s="4"/>
      <c r="L356" s="4"/>
      <c r="M356" s="4"/>
      <c r="N356" s="4"/>
      <c r="O356" s="18"/>
      <c r="P356" s="4"/>
      <c r="Q356" s="1">
        <v>60</v>
      </c>
      <c r="R356" s="1">
        <v>50</v>
      </c>
      <c r="S356" s="4" t="str">
        <f t="shared" si="20"/>
        <v>False</v>
      </c>
      <c r="T356" s="4" t="str">
        <f>IFERROR(__xludf.DUMMYFUNCTION("CONCATENATE(if(REGEXMATCH(C356,""R""),"" Red"",""""),if(REGEXMATCH(C356,""O""),"" Orange"",""""),if(REGEXMATCH(C356,""Y""),"" Yellow"",""""),if(REGEXMATCH(C356,""G""),"" Green"",""""),if(REGEXMATCH(C356,""B""),"" Blue"",""""),if(REGEXMATCH(C356,""P""),"" "&amp;"Purple"",""""))"),"")</f>
        <v/>
      </c>
      <c r="U356" s="4" t="str">
        <f>IFERROR(__xludf.DUMMYFUNCTION("TRIM(CONCAT(""[right]"", REGEXREPLACE(C356, ""([ROYGBPXZC_]|1?[0-9])"", ""[img=119]res://textures/icons/$0.png[/img]\\n"")))"),"[right]")</f>
        <v>[right]</v>
      </c>
      <c r="V356" s="4" t="str">
        <f>IFERROR(__xludf.DUMMYFUNCTION("SUBSTITUTE(SUBSTITUTE(SUBSTITUTE(SUBSTITUTE(REGEXREPLACE(SUBSTITUTE(SUBSTITUTE(SUBSTITUTE(SUBSTITUTE(REGEXREPLACE(I356, ""(\[([ROYGBPTQUXZC_]|1?[0-9])\])"", ""[img=45]res://textures/icons/$2.png[/img]""),""--"",""—""),""-&gt;"",""•""),""~@"", CONCATENATE(""["&amp;"i]"",REGEXEXTRACT(B356,""^([\s\S]*),|$""),""[/i]"")),""~"", CONCATENATE(""[i]"",B356,""[/i]"")),""(\([\s\S]*?\))"",""[i][color=#34343A]$0[/color][/i]""), ""&lt;"", ""[""), ""&gt;"", ""]""), ""[/p][p]"", ""[font_size=15]\n\n[/font_size]""), ""[br/]"", ""\n"")"),"[center][i][color=#34343A](Generators are not assets or effects. You may only play [i]Scrapyard[/i] whenever you have the option to hire a generator, instead of hiring any other card as a generator.)[/color][/i][/center][p][img=45]res://textures/icons/T.p"&amp;"ng[/img]: Add [img=45]res://textures/icons/C.png[/img].[font_size=15]\n\n[/font_size][u]Once[/u] [i][color=#34343A](As you activate this effect, remove it from this card)[/color][/i], [img=45]res://textures/icons/T.png[/img]: Choose a generator to become "&amp;"an exhausted [i]Scrapyard[/i].[/p]")</f>
        <v xml:space="preserve">[center][i][color=#34343A](Generators are not assets or effects. You may only play [i]Scrapyard[/i] whenever you have the option to hire a generator, instead of hiring any other card as a generator.)[/color][/i][/center][p][img=45]res://textures/icons/T.png[/img]: Add [img=45]res://textures/icons/C.png[/img].[font_size=15]\n\n[/font_size][u]Once[/u] [i][color=#34343A](As you activate this effect, remove it from this card)[/color][/i], [img=45]res://textures/icons/T.png[/img]: Choose a generator to become an exhausted [i]Scrapyard[/i].[/p]</v>
      </c>
      <c r="W356" s="4" t="str">
        <f t="shared" si="21"/>
        <v>[i]Generator[/i]</v>
      </c>
      <c r="X356" s="4" t="str">
        <f t="shared" si="22"/>
        <v>RT_CU_012</v>
      </c>
      <c r="Y356" s="4"/>
      <c r="Z356" s="4"/>
      <c r="AA356" s="4"/>
      <c r="AB356" s="4"/>
    </row>
    <row r="357">
      <c r="A357" s="4" t="s">
        <v>1377</v>
      </c>
      <c r="B357" s="4" t="s">
        <v>1378</v>
      </c>
      <c r="C357" s="5" t="s">
        <v>44</v>
      </c>
      <c r="D357" s="6" t="str">
        <f>IFERROR(__xludf.DUMMYFUNCTION("IF(ISBLANK(A357),"""",SWITCH(IF(T357="""",0,COUNTA(SPLIT(T357,"" ""))),0,""Generic"",1,TRIM(T357),2,""Multicolor"",3,""Multicolor"",4,""Multicolor"",5,""Multicolor"",6,""Multicolor"",7,""Multicolor"",8,""Multicolor""))"),"Generic")</f>
        <v>Generic</v>
      </c>
      <c r="E357" s="4"/>
      <c r="F357" s="4" t="s">
        <v>33</v>
      </c>
      <c r="G357" s="4"/>
      <c r="H357" s="5" t="s">
        <v>129</v>
      </c>
      <c r="I357" s="7" t="s">
        <v>1379</v>
      </c>
      <c r="J357" s="7"/>
      <c r="K357" s="4"/>
      <c r="L357" s="4"/>
      <c r="M357" s="4"/>
      <c r="N357" s="4"/>
      <c r="O357" s="18"/>
      <c r="P357" s="4"/>
      <c r="Q357" s="1">
        <v>45</v>
      </c>
      <c r="R357" s="1">
        <v>50</v>
      </c>
      <c r="S357" s="4" t="str">
        <f t="shared" si="20"/>
        <v>False</v>
      </c>
      <c r="T357" s="4" t="str">
        <f>IFERROR(__xludf.DUMMYFUNCTION("CONCATENATE(if(REGEXMATCH(C357,""R""),"" Red"",""""),if(REGEXMATCH(C357,""O""),"" Orange"",""""),if(REGEXMATCH(C357,""Y""),"" Yellow"",""""),if(REGEXMATCH(C357,""G""),"" Green"",""""),if(REGEXMATCH(C357,""B""),"" Blue"",""""),if(REGEXMATCH(C357,""P""),"" "&amp;"Purple"",""""))"),"")</f>
        <v/>
      </c>
      <c r="U357" s="4" t="str">
        <f>IFERROR(__xludf.DUMMYFUNCTION("TRIM(CONCAT(""[right]"", REGEXREPLACE(C357, ""([ROYGBPXZC_]|1?[0-9])"", ""[img=119]res://textures/icons/$0.png[/img]\\n"")))"),"[right][img=119]res://textures/icons/2.png[/img]\n")</f>
        <v>[right][img=119]res://textures/icons/2.png[/img]\n</v>
      </c>
      <c r="V357" s="4" t="str">
        <f>IFERROR(__xludf.DUMMYFUNCTION("SUBSTITUTE(SUBSTITUTE(SUBSTITUTE(SUBSTITUTE(REGEXREPLACE(SUBSTITUTE(SUBSTITUTE(SUBSTITUTE(SUBSTITUTE(REGEXREPLACE(I357, ""(\[([ROYGBPTQUXZC_]|1?[0-9])\])"", ""[img=45]res://textures/icons/$2.png[/img]""),""--"",""—""),""-&gt;"",""•""),""~@"", CONCATENATE(""["&amp;"i]"",REGEXEXTRACT(B357,""^([\s\S]*),|$""),""[/i]"")),""~"", CONCATENATE(""[i]"",B357,""[/i]"")),""(\([\s\S]*?\))"",""[i][color=#34343A]$0[/color][/i]""), ""&lt;"", ""[""), ""&gt;"", ""]""), ""[/p][p]"", ""[font_size=15]\n\n[/font_size]""), ""[br/]"", ""\n"")"),"[center][u]Warrant[/u] [i][color=#34343A](When you deploy [i]Unwarranted Citizen's Arrest[/i], shuffle an 'Incarceration' into your deck.)[/color][/i][/center][p]Choose a permanent an opponent controls; return it to its owner's hand.[/p]")</f>
        <v xml:space="preserve">[center][u]Warrant[/u] [i][color=#34343A](When you deploy [i]Unwarranted Citizen's Arrest[/i], shuffle an 'Incarceration' into your deck.)[/color][/i][/center][p]Choose a permanent an opponent controls; return it to its owner's hand.[/p]</v>
      </c>
      <c r="W357" s="4" t="str">
        <f t="shared" si="21"/>
        <v>[i]Effect[/i]</v>
      </c>
      <c r="X357" s="4" t="str">
        <f t="shared" si="22"/>
        <v>RT_CU_013</v>
      </c>
      <c r="Y357" s="4"/>
      <c r="Z357" s="4"/>
      <c r="AA357" s="4"/>
      <c r="AB357" s="4"/>
    </row>
    <row r="358">
      <c r="A358" s="4" t="s">
        <v>1380</v>
      </c>
      <c r="B358" s="4" t="s">
        <v>1381</v>
      </c>
      <c r="C358" s="5" t="s">
        <v>32</v>
      </c>
      <c r="D358" s="6" t="str">
        <f>IFERROR(__xludf.DUMMYFUNCTION("IF(ISBLANK(A358),"""",SWITCH(IF(T358="""",0,COUNTA(SPLIT(T358,"" ""))),0,""Generic"",1,TRIM(T358),2,""Multicolor"",3,""Multicolor"",4,""Multicolor"",5,""Multicolor"",6,""Multicolor"",7,""Multicolor"",8,""Multicolor""))"),"Generic")</f>
        <v>Generic</v>
      </c>
      <c r="E358" s="4"/>
      <c r="F358" s="4" t="s">
        <v>26</v>
      </c>
      <c r="G358" s="4" t="s">
        <v>1343</v>
      </c>
      <c r="H358" s="5" t="s">
        <v>119</v>
      </c>
      <c r="I358" s="7" t="s">
        <v>1382</v>
      </c>
      <c r="J358" s="7"/>
      <c r="K358" s="4"/>
      <c r="L358" s="4"/>
      <c r="M358" s="4"/>
      <c r="N358" s="4"/>
      <c r="O358" s="18"/>
      <c r="P358" s="4"/>
      <c r="Q358" s="8">
        <v>45</v>
      </c>
      <c r="R358" s="8">
        <v>50</v>
      </c>
      <c r="S358" s="4" t="str">
        <f t="shared" si="20"/>
        <v>False</v>
      </c>
      <c r="T358" s="4" t="str">
        <f>IFERROR(__xludf.DUMMYFUNCTION("CONCATENATE(if(REGEXMATCH(C358,""R""),"" Red"",""""),if(REGEXMATCH(C358,""O""),"" Orange"",""""),if(REGEXMATCH(C358,""Y""),"" Yellow"",""""),if(REGEXMATCH(C358,""G""),"" Green"",""""),if(REGEXMATCH(C358,""B""),"" Blue"",""""),if(REGEXMATCH(C358,""P""),"" "&amp;"Purple"",""""))"),"")</f>
        <v/>
      </c>
      <c r="U358" s="4" t="str">
        <f>IFERROR(__xludf.DUMMYFUNCTION("TRIM(CONCAT(""[right]"", REGEXREPLACE(C358, ""([ROYGBPXZC_]|1?[0-9])"", ""[img=119]res://textures/icons/$0.png[/img]\\n"")))"),"[right][img=119]res://textures/icons/3.png[/img]\n")</f>
        <v>[right][img=119]res://textures/icons/3.png[/img]\n</v>
      </c>
      <c r="V358" s="4" t="str">
        <f>IFERROR(__xludf.DUMMYFUNCTION("SUBSTITUTE(SUBSTITUTE(SUBSTITUTE(SUBSTITUTE(REGEXREPLACE(SUBSTITUTE(SUBSTITUTE(SUBSTITUTE(SUBSTITUTE(REGEXREPLACE(I358, ""(\[([ROYGBPTQUXZC_]|1?[0-9])\])"", ""[img=45]res://textures/icons/$2.png[/img]""),""--"",""—""),""-&gt;"",""•""),""~@"", CONCATENATE(""["&amp;"i]"",REGEXEXTRACT(B358,""^([\s\S]*),|$""),""[/i]"")),""~"", CONCATENATE(""[i]"",B358,""[/i]"")),""(\([\s\S]*?\))"",""[i][color=#34343A]$0[/color][/i]""), ""&lt;"", ""[""), ""&gt;"", ""]""), ""[/p][p]"", ""[font_size=15]\n\n[/font_size]""), ""[br/]"", ""\n"")"),"[center][u]Ammo 15[/u] [i][color=#34343A](Whenever the attached asset attacks or intercepts, reduce [i]Fully Automatic Assault Rifle[/i]'s ammo by 1 [to a minimum of 0.] Instead of expending an ammo you may treat this as if it had ammo 0 until end of turn"&amp;".)[/color][/i], [u]Gun[/u] [i][color=#34343A](As long as this card has ammo, the attached asset is ranged.)[/color][/i], [u]Tradeable[/u][/center][p]When this card enters the battlefield, choose an asset to attach it to.[font_size=15]\n\n[/font_size]As lo"&amp;"ng as this card has ammo, the first time the attached asset attacks each turn, it doesn't exhaust.[/p]")</f>
        <v xml:space="preserve">[center][u]Ammo 15[/u] [i][color=#34343A](Whenever the attached asset attacks or intercepts, reduce [i]Fully Automatic Assault Rifle[/i]'s ammo by 1 [to a minimum of 0.] Instead of expending an ammo you may treat this as if it had ammo 0 until end of turn.)[/color][/i], [u]Gun[/u] [i][color=#34343A](As long as this card has ammo, the attached asset is ranged.)[/color][/i], [u]Tradeable[/u][/center][p]When this card enters the battlefield, choose an asset to attach it to.[font_size=15]\n\n[/font_size]As long as this card has ammo, the first time the attached asset attacks each turn, it doesn't exhaust.[/p]</v>
      </c>
      <c r="W358" s="4" t="str">
        <f t="shared" si="21"/>
        <v>[i]Asset[/i]</v>
      </c>
      <c r="X358" s="4" t="str">
        <f t="shared" si="22"/>
        <v>RT_CU_014</v>
      </c>
      <c r="Y358" s="4"/>
      <c r="Z358" s="4"/>
      <c r="AA358" s="4"/>
      <c r="AB358" s="4"/>
    </row>
    <row r="359">
      <c r="A359" s="4" t="s">
        <v>1383</v>
      </c>
      <c r="B359" s="4" t="s">
        <v>1384</v>
      </c>
      <c r="C359" s="5" t="s">
        <v>32</v>
      </c>
      <c r="D359" s="6" t="str">
        <f>IFERROR(__xludf.DUMMYFUNCTION("IF(ISBLANK(A359),"""",SWITCH(IF(T359="""",0,COUNTA(SPLIT(T359,"" ""))),0,""Generic"",1,TRIM(T359),2,""Multicolor"",3,""Multicolor"",4,""Multicolor"",5,""Multicolor"",6,""Multicolor"",7,""Multicolor"",8,""Multicolor""))"),"Generic")</f>
        <v>Generic</v>
      </c>
      <c r="E359" s="4"/>
      <c r="F359" s="4" t="s">
        <v>33</v>
      </c>
      <c r="G359" s="4"/>
      <c r="H359" s="5" t="s">
        <v>119</v>
      </c>
      <c r="I359" s="11" t="s">
        <v>1385</v>
      </c>
      <c r="J359" s="7"/>
      <c r="K359" s="4"/>
      <c r="L359" s="4"/>
      <c r="M359" s="4"/>
      <c r="N359" s="4"/>
      <c r="O359" s="18"/>
      <c r="P359" s="4"/>
      <c r="Q359" s="1">
        <v>60</v>
      </c>
      <c r="R359" s="1">
        <v>50</v>
      </c>
      <c r="S359" s="4" t="str">
        <f t="shared" si="20"/>
        <v>False</v>
      </c>
      <c r="T359" s="4" t="str">
        <f>IFERROR(__xludf.DUMMYFUNCTION("CONCATENATE(if(REGEXMATCH(C359,""R""),"" Red"",""""),if(REGEXMATCH(C359,""O""),"" Orange"",""""),if(REGEXMATCH(C359,""Y""),"" Yellow"",""""),if(REGEXMATCH(C359,""G""),"" Green"",""""),if(REGEXMATCH(C359,""B""),"" Blue"",""""),if(REGEXMATCH(C359,""P""),"" "&amp;"Purple"",""""))"),"")</f>
        <v/>
      </c>
      <c r="U359" s="4" t="str">
        <f>IFERROR(__xludf.DUMMYFUNCTION("TRIM(CONCAT(""[right]"", REGEXREPLACE(C359, ""([ROYGBPXZC_]|1?[0-9])"", ""[img=119]res://textures/icons/$0.png[/img]\\n"")))"),"[right][img=119]res://textures/icons/3.png[/img]\n")</f>
        <v>[right][img=119]res://textures/icons/3.png[/img]\n</v>
      </c>
      <c r="V359" s="4" t="str">
        <f>IFERROR(__xludf.DUMMYFUNCTION("SUBSTITUTE(SUBSTITUTE(SUBSTITUTE(SUBSTITUTE(REGEXREPLACE(SUBSTITUTE(SUBSTITUTE(SUBSTITUTE(SUBSTITUTE(REGEXREPLACE(I359, ""(\[([ROYGBPTQUXZC_]|1?[0-9])\])"", ""[img=45]res://textures/icons/$2.png[/img]""),""--"",""—""),""-&gt;"",""•""),""~@"", CONCATENATE(""["&amp;"i]"",REGEXEXTRACT(B359,""^([\s\S]*),|$""),""[/i]"")),""~"", CONCATENATE(""[i]"",B359,""[/i]"")),""(\([\s\S]*?\))"",""[i][color=#34343A]$0[/color][/i]""), ""&lt;"", ""[""), ""&gt;"", ""]""), ""[/p][p]"", ""[font_size=15]\n\n[/font_size]""), ""[br/]"", ""\n"")"),"[center]Choose an equipment card; its owner [u]forfeits[/u] [i][color=#34343A](Put the specified card into its owner's discard.)[/color][/i] it.[/center]")</f>
        <v xml:space="preserve">[center]Choose an equipment card; its owner [u]forfeits[/u] [i][color=#34343A](Put the specified card into its owner's discard.)[/color][/i] it.[/center]</v>
      </c>
      <c r="W359" s="4" t="str">
        <f t="shared" si="21"/>
        <v>[i]Effect[/i]</v>
      </c>
      <c r="X359" s="4" t="str">
        <f t="shared" si="22"/>
        <v>RT_CU_015</v>
      </c>
      <c r="Y359" s="4"/>
      <c r="Z359" s="4"/>
      <c r="AA359" s="4"/>
      <c r="AB359" s="4"/>
    </row>
    <row r="360">
      <c r="A360" s="4" t="s">
        <v>1386</v>
      </c>
      <c r="B360" s="4" t="s">
        <v>1387</v>
      </c>
      <c r="C360" s="5" t="s">
        <v>50</v>
      </c>
      <c r="D360" s="6" t="str">
        <f>IFERROR(__xludf.DUMMYFUNCTION("IF(ISBLANK(A360),"""",SWITCH(IF(T360="""",0,COUNTA(SPLIT(T360,"" ""))),0,""Generic"",1,TRIM(T360),2,""Multicolor"",3,""Multicolor"",4,""Multicolor"",5,""Multicolor"",6,""Multicolor"",7,""Multicolor"",8,""Multicolor""))"),"Generic")</f>
        <v>Generic</v>
      </c>
      <c r="E360" s="4"/>
      <c r="F360" s="4" t="s">
        <v>33</v>
      </c>
      <c r="G360" s="4" t="s">
        <v>118</v>
      </c>
      <c r="H360" s="5" t="s">
        <v>119</v>
      </c>
      <c r="I360" s="11" t="s">
        <v>1388</v>
      </c>
      <c r="J360" s="7"/>
      <c r="K360" s="4"/>
      <c r="L360" s="4"/>
      <c r="M360" s="4"/>
      <c r="N360" s="4"/>
      <c r="O360" s="18"/>
      <c r="P360" s="4"/>
      <c r="Q360" s="1">
        <v>60</v>
      </c>
      <c r="R360" s="1">
        <v>50</v>
      </c>
      <c r="S360" s="4" t="str">
        <f t="shared" si="20"/>
        <v>False</v>
      </c>
      <c r="T360" s="4" t="str">
        <f>IFERROR(__xludf.DUMMYFUNCTION("CONCATENATE(if(REGEXMATCH(C360,""R""),"" Red"",""""),if(REGEXMATCH(C360,""O""),"" Orange"",""""),if(REGEXMATCH(C360,""Y""),"" Yellow"",""""),if(REGEXMATCH(C360,""G""),"" Green"",""""),if(REGEXMATCH(C360,""B""),"" Blue"",""""),if(REGEXMATCH(C360,""P""),"" "&amp;"Purple"",""""))"),"")</f>
        <v/>
      </c>
      <c r="U360" s="4" t="str">
        <f>IFERROR(__xludf.DUMMYFUNCTION("TRIM(CONCAT(""[right]"", REGEXREPLACE(C360, ""([ROYGBPXZC_]|1?[0-9])"", ""[img=119]res://textures/icons/$0.png[/img]\\n"")))"),"[right][img=119]res://textures/icons/1.png[/img]\n")</f>
        <v>[right][img=119]res://textures/icons/1.png[/img]\n</v>
      </c>
      <c r="V360" s="4" t="str">
        <f>IFERROR(__xludf.DUMMYFUNCTION("SUBSTITUTE(SUBSTITUTE(SUBSTITUTE(SUBSTITUTE(REGEXREPLACE(SUBSTITUTE(SUBSTITUTE(SUBSTITUTE(SUBSTITUTE(REGEXREPLACE(I360, ""(\[([ROYGBPTQUXZC_]|1?[0-9])\])"", ""[img=45]res://textures/icons/$2.png[/img]""),""--"",""—""),""-&gt;"",""•""),""~@"", CONCATENATE(""["&amp;"i]"",REGEXEXTRACT(B360,""^([\s\S]*),|$""),""[/i]"")),""~"", CONCATENATE(""[i]"",B360,""[/i]"")),""(\([\s\S]*?\))"",""[i][color=#34343A]$0[/color][/i]""), ""&lt;"", ""[""), ""&gt;"", ""]""), ""[/p][p]"", ""[font_size=15]\n\n[/font_size]""), ""[br/]"", ""\n"")"),"[center][u]Response[/u] [i][color=#34343A](You may deploy [i]Reload[/i] in response to other cards and effects.)[/color][/i][/center][p]Choose a gun; restore all of it's ammo.[font_size=15]\n\n[/font_size]A deck many run any number of [i]Reload[/i].[/p]")</f>
        <v xml:space="preserve">[center][u]Response[/u] [i][color=#34343A](You may deploy [i]Reload[/i] in response to other cards and effects.)[/color][/i][/center][p]Choose a gun; restore all of it's ammo.[font_size=15]\n\n[/font_size]A deck many run any number of [i]Reload[/i].[/p]</v>
      </c>
      <c r="W360" s="4" t="str">
        <f t="shared" si="21"/>
        <v>[i]Effect[/i]</v>
      </c>
      <c r="X360" s="4" t="str">
        <f t="shared" si="22"/>
        <v>RT_CU_016</v>
      </c>
      <c r="Y360" s="4"/>
      <c r="Z360" s="4"/>
      <c r="AA360" s="4"/>
      <c r="AB360" s="4"/>
    </row>
    <row r="361">
      <c r="A361" s="4" t="s">
        <v>1389</v>
      </c>
      <c r="B361" s="4" t="s">
        <v>1390</v>
      </c>
      <c r="C361" s="5" t="s">
        <v>1391</v>
      </c>
      <c r="D361" s="6" t="str">
        <f>IFERROR(__xludf.DUMMYFUNCTION("IF(EQ(A361,B361),"""",SWITCH(IF(T361="""",0,COUNTA(SPLIT(T361,"" ""))),0,""Generic"",1,TRIM(T361),2,""Multicolor"",3,""Multicolor"",4,""Multicolor"",5,""Multicolor"",6,""Multicolor"",7,""Multicolor"",8,""Multicolor""))"),"Generic")</f>
        <v>Generic</v>
      </c>
      <c r="E361" s="4"/>
      <c r="F361" s="4" t="s">
        <v>33</v>
      </c>
      <c r="G361" s="4" t="s">
        <v>320</v>
      </c>
      <c r="H361" s="5" t="s">
        <v>44</v>
      </c>
      <c r="I361" s="7" t="s">
        <v>1392</v>
      </c>
      <c r="J361" s="7"/>
      <c r="K361" s="4" t="s">
        <v>29</v>
      </c>
      <c r="L361" s="4" t="s">
        <v>29</v>
      </c>
      <c r="M361" s="4"/>
      <c r="N361" s="4"/>
      <c r="O361" s="18" t="s">
        <v>1393</v>
      </c>
      <c r="P361" s="4"/>
      <c r="Q361" s="8">
        <v>50</v>
      </c>
      <c r="R361" s="8">
        <v>50</v>
      </c>
      <c r="S361" s="4" t="str">
        <f t="shared" si="20"/>
        <v>False</v>
      </c>
      <c r="T361" s="4" t="str">
        <f>IFERROR(__xludf.DUMMYFUNCTION("CONCATENATE(if(REGEXMATCH(C361,""R""),"" Red"",""""),if(REGEXMATCH(C361,""O""),"" Orange"",""""),if(REGEXMATCH(C361,""Y""),"" Yellow"",""""),if(REGEXMATCH(C361,""G""),"" Green"",""""),if(REGEXMATCH(C361,""B""),"" Blue"",""""),if(REGEXMATCH(C361,""P""),"" "&amp;"Purple"",""""))"),"")</f>
        <v/>
      </c>
      <c r="U361" s="4" t="str">
        <f>IFERROR(__xludf.DUMMYFUNCTION("TRIM(CONCAT(""[right]"", REGEXREPLACE(C361, ""([ROYGBPXZC_]|1?[0-9])"", ""[img=119]res://textures/icons/$0.png[/img]\\n"")))"),"[right][img=119]res://textures/icons/X.png[/img]\n")</f>
        <v>[right][img=119]res://textures/icons/X.png[/img]\n</v>
      </c>
      <c r="V361" s="4" t="str">
        <f>IFERROR(__xludf.DUMMYFUNCTION("SUBSTITUTE(SUBSTITUTE(SUBSTITUTE(SUBSTITUTE(REGEXREPLACE(SUBSTITUTE(SUBSTITUTE(SUBSTITUTE(SUBSTITUTE(REGEXREPLACE(I361, ""(\[([ROYGBPTQUXZC_]|1?[0-9])\])"", ""[img=45]res://textures/icons/$2.png[/img]""),""--"",""—""),""-&gt;"",""•""),""~@"", CONCATENATE(""["&amp;"i]"",REGEXEXTRACT(B361,""^([\s\S]*),|$""),""[/i]"")),""~"", CONCATENATE(""[i]"",B361,""[/i]"")),""(\([\s\S]*?\))"",""[i][color=#34343A]$0[/color][/i]""), ""&lt;"", ""[""), ""&gt;"", ""]""), ""[/p][p]"", ""[font_size=15]\n\n[/font_size]""), ""[br/]"", ""\n"")"),"[p]Create [img=45]res://textures/icons/X.png[/img] [i]'Duck'[/i]s on the battlefield.[/p]")</f>
        <v xml:space="preserve">[p]Create [img=45]res://textures/icons/X.png[/img] [i]'Duck'[/i]s on the battlefield.[/p]</v>
      </c>
      <c r="W361" s="4" t="str">
        <f t="shared" si="21"/>
        <v>[i]Effect[/i]</v>
      </c>
      <c r="X361" s="4" t="str">
        <f t="shared" si="22"/>
        <v>RT_CC_001</v>
      </c>
      <c r="Y361" s="4"/>
      <c r="Z361" s="4"/>
      <c r="AA361" s="4"/>
      <c r="AB361" s="4"/>
    </row>
    <row r="362">
      <c r="A362" s="4" t="s">
        <v>1394</v>
      </c>
      <c r="B362" s="4" t="s">
        <v>1395</v>
      </c>
      <c r="C362" s="5" t="s">
        <v>25</v>
      </c>
      <c r="D362" s="6" t="str">
        <f>IFERROR(__xludf.DUMMYFUNCTION("IF(EQ(A362,B362),"""",SWITCH(IF(T362="""",0,COUNTA(SPLIT(T362,"" ""))),0,""Generic"",1,TRIM(T362),2,""Multicolor"",3,""Multicolor"",4,""Multicolor"",5,""Multicolor"",6,""Multicolor"",7,""Multicolor"",8,""Multicolor""))"),"Generic")</f>
        <v>Generic</v>
      </c>
      <c r="E362" s="4"/>
      <c r="F362" s="4" t="s">
        <v>33</v>
      </c>
      <c r="G362" s="4" t="s">
        <v>1396</v>
      </c>
      <c r="H362" s="5" t="s">
        <v>32</v>
      </c>
      <c r="I362" s="7" t="s">
        <v>1397</v>
      </c>
      <c r="J362" s="7"/>
      <c r="K362" s="4"/>
      <c r="L362" s="4"/>
      <c r="M362" s="4"/>
      <c r="N362" s="4"/>
      <c r="O362" s="18"/>
      <c r="P362" s="4"/>
      <c r="Q362" s="8">
        <v>45</v>
      </c>
      <c r="R362" s="8">
        <v>50</v>
      </c>
      <c r="S362" s="4" t="str">
        <f t="shared" si="20"/>
        <v>False</v>
      </c>
      <c r="T362" s="4" t="str">
        <f>IFERROR(__xludf.DUMMYFUNCTION("CONCATENATE(if(REGEXMATCH(C362,""R""),"" Red"",""""),if(REGEXMATCH(C362,""O""),"" Orange"",""""),if(REGEXMATCH(C362,""Y""),"" Yellow"",""""),if(REGEXMATCH(C362,""G""),"" Green"",""""),if(REGEXMATCH(C362,""B""),"" Blue"",""""),if(REGEXMATCH(C362,""P""),"" "&amp;"Purple"",""""))"),"")</f>
        <v/>
      </c>
      <c r="U362" s="4" t="str">
        <f>IFERROR(__xludf.DUMMYFUNCTION("TRIM(CONCAT(""[right]"", REGEXREPLACE(C362, ""([ROYGBPXZC_]|1?[0-9])"", ""[img=119]res://textures/icons/$0.png[/img]\\n"")))"),"[right][img=119]res://textures/icons/0.png[/img]\n")</f>
        <v>[right][img=119]res://textures/icons/0.png[/img]\n</v>
      </c>
      <c r="V362" s="4" t="str">
        <f>IFERROR(__xludf.DUMMYFUNCTION("SUBSTITUTE(SUBSTITUTE(SUBSTITUTE(SUBSTITUTE(REGEXREPLACE(SUBSTITUTE(SUBSTITUTE(SUBSTITUTE(SUBSTITUTE(REGEXREPLACE(I362, ""(\[([ROYGBPTQUXZC_]|1?[0-9])\])"", ""[img=45]res://textures/icons/$2.png[/img]""),""--"",""—""),""-&gt;"",""•""),""~@"", CONCATENATE(""["&amp;"i]"",REGEXEXTRACT(B362,""^([\s\S]*),|$""),""[/i]"")),""~"", CONCATENATE(""[i]"",B362,""[/i]"")),""(\([\s\S]*?\))"",""[i][color=#34343A]$0[/color][/i]""), ""&lt;"", ""[""), ""&gt;"", ""]""), ""[/p][p]"", ""[font_size=15]\n\n[/font_size]""), ""[br/]"", ""\n"")"),"Choose an asset or player; it takes 1 damage from [i]Hit em' With The Butt-End[/i]. If it would die as a result draw a card.")</f>
        <v xml:space="preserve">Choose an asset or player; it takes 1 damage from [i]Hit em' With The Butt-End[/i]. If it would die as a result draw a card.</v>
      </c>
      <c r="W362" s="4" t="str">
        <f t="shared" si="21"/>
        <v>[i]Effect[/i]</v>
      </c>
      <c r="X362" s="4" t="str">
        <f t="shared" si="22"/>
        <v>RT_CC_002</v>
      </c>
      <c r="Y362" s="4"/>
      <c r="Z362" s="4"/>
      <c r="AA362" s="4"/>
      <c r="AB362" s="4"/>
    </row>
    <row r="363">
      <c r="A363" s="4" t="s">
        <v>1398</v>
      </c>
      <c r="B363" s="4" t="s">
        <v>1399</v>
      </c>
      <c r="C363" s="5" t="s">
        <v>44</v>
      </c>
      <c r="D363" s="6" t="str">
        <f>IFERROR(__xludf.DUMMYFUNCTION("IF(ISBLANK(A363),"""",SWITCH(IF(T363="""",0,COUNTA(SPLIT(T363,"" ""))),0,""Generic"",1,TRIM(T363),2,""Multicolor"",3,""Multicolor"",4,""Multicolor"",5,""Multicolor"",6,""Multicolor"",7,""Multicolor"",8,""Multicolor""))"),"Generic")</f>
        <v>Generic</v>
      </c>
      <c r="E363" s="4" t="s">
        <v>51</v>
      </c>
      <c r="F363" s="4" t="s">
        <v>26</v>
      </c>
      <c r="G363" s="4" t="s">
        <v>1400</v>
      </c>
      <c r="H363" s="5" t="s">
        <v>50</v>
      </c>
      <c r="I363" s="7" t="s">
        <v>1401</v>
      </c>
      <c r="J363" s="7" t="s">
        <v>1402</v>
      </c>
      <c r="K363" s="8">
        <v>2</v>
      </c>
      <c r="L363" s="8">
        <v>3</v>
      </c>
      <c r="O363" s="3"/>
      <c r="Q363" s="1">
        <v>60</v>
      </c>
      <c r="R363" s="1">
        <v>35</v>
      </c>
      <c r="S363" s="4" t="str">
        <f t="shared" si="20"/>
        <v>True</v>
      </c>
      <c r="T363" s="4" t="str">
        <f>IFERROR(__xludf.DUMMYFUNCTION("CONCATENATE(if(REGEXMATCH(C363,""R""),"" Red"",""""),if(REGEXMATCH(C363,""O""),"" Orange"",""""),if(REGEXMATCH(C363,""Y""),"" Yellow"",""""),if(REGEXMATCH(C363,""G""),"" Green"",""""),if(REGEXMATCH(C363,""B""),"" Blue"",""""),if(REGEXMATCH(C363,""P""),"" "&amp;"Purple"",""""))"),"")</f>
        <v/>
      </c>
      <c r="U363" s="4" t="str">
        <f>IFERROR(__xludf.DUMMYFUNCTION("TRIM(CONCAT(""[right]"", REGEXREPLACE(C363, ""([ROYGBPXZC_]|1?[0-9])"", ""[img=119]res://textures/icons/$0.png[/img]\\n"")))"),"[right][img=119]res://textures/icons/2.png[/img]\n")</f>
        <v>[right][img=119]res://textures/icons/2.png[/img]\n</v>
      </c>
      <c r="V363" s="4" t="str">
        <f>IFERROR(__xludf.DUMMYFUNCTION("SUBSTITUTE(SUBSTITUTE(SUBSTITUTE(SUBSTITUTE(REGEXREPLACE(SUBSTITUTE(SUBSTITUTE(SUBSTITUTE(SUBSTITUTE(REGEXREPLACE(I363, ""(\[([ROYGBPTQUXZC_]|1?[0-9])\])"", ""[img=45]res://textures/icons/$2.png[/img]""),""--"",""—""),""-&gt;"",""•""),""~@"", CONCATENATE(""["&amp;"i]"",REGEXEXTRACT(B363,""^([\s\S]*),|$""),""[/i]"")),""~"", CONCATENATE(""[i]"",B363,""[/i]"")),""(\([\s\S]*?\))"",""[i][color=#34343A]$0[/color][/i]""), ""&lt;"", ""[""), ""&gt;"", ""]""), ""[/p][p]"", ""[font_size=15]\n\n[/font_size]""), ""[br/]"", ""\n"")"),"[i][color=#34343A]""Out here you have to be tough to survive kiddo.""[/color][/i]")</f>
        <v xml:space="preserve">[i][color=#34343A]"Out here you have to be tough to survive kiddo."[/color][/i]</v>
      </c>
      <c r="W363" s="4" t="str">
        <f t="shared" si="21"/>
        <v>[i]Asset[/i]</v>
      </c>
      <c r="X363" s="4" t="str">
        <f t="shared" si="22"/>
        <v>RT_CC_003</v>
      </c>
    </row>
    <row r="364">
      <c r="A364" s="4" t="s">
        <v>1403</v>
      </c>
      <c r="B364" s="4" t="s">
        <v>1404</v>
      </c>
      <c r="C364" s="5" t="s">
        <v>50</v>
      </c>
      <c r="D364" s="6" t="str">
        <f>IFERROR(__xludf.DUMMYFUNCTION("IF(ISBLANK(A364),"""",SWITCH(IF(T364="""",0,COUNTA(SPLIT(T364,"" ""))),0,""Generic"",1,TRIM(T364),2,""Multicolor"",3,""Multicolor"",4,""Multicolor"",5,""Multicolor"",6,""Multicolor"",7,""Multicolor"",8,""Multicolor""))"),"Generic")</f>
        <v>Generic</v>
      </c>
      <c r="E364" s="4"/>
      <c r="F364" s="4" t="s">
        <v>33</v>
      </c>
      <c r="G364" s="4"/>
      <c r="H364" s="5" t="s">
        <v>50</v>
      </c>
      <c r="I364" s="7" t="s">
        <v>1405</v>
      </c>
      <c r="J364" s="7"/>
      <c r="K364" s="4" t="s">
        <v>29</v>
      </c>
      <c r="L364" s="4" t="s">
        <v>29</v>
      </c>
      <c r="O364" s="3"/>
      <c r="Q364" s="1">
        <v>60</v>
      </c>
      <c r="R364" s="1">
        <v>50</v>
      </c>
      <c r="S364" s="4" t="str">
        <f t="shared" si="20"/>
        <v>False</v>
      </c>
      <c r="T364" s="4" t="str">
        <f>IFERROR(__xludf.DUMMYFUNCTION("CONCATENATE(if(REGEXMATCH(C364,""R""),"" Red"",""""),if(REGEXMATCH(C364,""O""),"" Orange"",""""),if(REGEXMATCH(C364,""Y""),"" Yellow"",""""),if(REGEXMATCH(C364,""G""),"" Green"",""""),if(REGEXMATCH(C364,""B""),"" Blue"",""""),if(REGEXMATCH(C364,""P""),"" "&amp;"Purple"",""""))"),"")</f>
        <v/>
      </c>
      <c r="U364" s="4" t="str">
        <f>IFERROR(__xludf.DUMMYFUNCTION("TRIM(CONCAT(""[right]"", REGEXREPLACE(C364, ""([ROYGBPXZC_]|1?[0-9])"", ""[img=119]res://textures/icons/$0.png[/img]\\n"")))"),"[right][img=119]res://textures/icons/1.png[/img]\n")</f>
        <v>[right][img=119]res://textures/icons/1.png[/img]\n</v>
      </c>
      <c r="V364" s="4" t="str">
        <f>IFERROR(__xludf.DUMMYFUNCTION("SUBSTITUTE(SUBSTITUTE(SUBSTITUTE(SUBSTITUTE(REGEXREPLACE(SUBSTITUTE(SUBSTITUTE(SUBSTITUTE(SUBSTITUTE(REGEXREPLACE(I364, ""(\[([ROYGBPTQUXZC_]|1?[0-9])\])"", ""[img=45]res://textures/icons/$2.png[/img]""),""--"",""—""),""-&gt;"",""•""),""~@"", CONCATENATE(""["&amp;"i]"",REGEXEXTRACT(B364,""^([\s\S]*),|$""),""[/i]"")),""~"", CONCATENATE(""[i]"",B364,""[/i]"")),""(\([\s\S]*?\))"",""[i][color=#34343A]$0[/color][/i]""), ""&lt;"", ""[""), ""&gt;"", ""]""), ""[/p][p]"", ""[font_size=15]\n\n[/font_size]""), ""[br/]"", ""\n"")"),"[center][u]Advantageous[/u] [i][color=#34343A](When [i]Shuffle[/i] resolves, draw a card.)[/color][/i][/center][p]Choose a player to shuffle their deck.[/p]")</f>
        <v xml:space="preserve">[center][u]Advantageous[/u] [i][color=#34343A](When [i]Shuffle[/i] resolves, draw a card.)[/color][/i][/center][p]Choose a player to shuffle their deck.[/p]</v>
      </c>
      <c r="W364" s="4" t="str">
        <f t="shared" si="21"/>
        <v>[i]Effect[/i]</v>
      </c>
      <c r="X364" s="4" t="str">
        <f t="shared" si="22"/>
        <v>RT_CC_004</v>
      </c>
    </row>
    <row r="365">
      <c r="A365" s="1" t="s">
        <v>1406</v>
      </c>
      <c r="B365" s="4" t="s">
        <v>1407</v>
      </c>
      <c r="C365" s="5" t="s">
        <v>50</v>
      </c>
      <c r="D365" s="6" t="str">
        <f>IFERROR(__xludf.DUMMYFUNCTION("IF(ISBLANK(A365),"""",SWITCH(IF(T365="""",0,COUNTA(SPLIT(T365,"" ""))),0,""Generic"",1,TRIM(T365),2,""Multicolor"",3,""Multicolor"",4,""Multicolor"",5,""Multicolor"",6,""Multicolor"",7,""Multicolor"",8,""Multicolor""))"),"Generic")</f>
        <v>Generic</v>
      </c>
      <c r="E365" s="4" t="s">
        <v>51</v>
      </c>
      <c r="F365" s="4" t="s">
        <v>26</v>
      </c>
      <c r="G365" s="4" t="s">
        <v>1025</v>
      </c>
      <c r="H365" s="5" t="s">
        <v>44</v>
      </c>
      <c r="I365" s="7" t="s">
        <v>1408</v>
      </c>
      <c r="J365" s="4"/>
      <c r="K365" s="8">
        <v>1</v>
      </c>
      <c r="L365" s="8">
        <v>1</v>
      </c>
      <c r="O365" s="3"/>
      <c r="Q365" s="1">
        <v>60</v>
      </c>
      <c r="R365" s="1">
        <v>50</v>
      </c>
      <c r="S365" s="4" t="str">
        <f t="shared" si="20"/>
        <v>True</v>
      </c>
      <c r="T365" s="4" t="str">
        <f>IFERROR(__xludf.DUMMYFUNCTION("CONCATENATE(if(REGEXMATCH(C365,""R""),"" Red"",""""),if(REGEXMATCH(C365,""O""),"" Orange"",""""),if(REGEXMATCH(C365,""Y""),"" Yellow"",""""),if(REGEXMATCH(C365,""G""),"" Green"",""""),if(REGEXMATCH(C365,""B""),"" Blue"",""""),if(REGEXMATCH(C365,""P""),"" "&amp;"Purple"",""""))"),"")</f>
        <v/>
      </c>
      <c r="U365" s="4" t="str">
        <f>IFERROR(__xludf.DUMMYFUNCTION("TRIM(CONCAT(""[right]"", REGEXREPLACE(C365, ""([ROYGBPXZC_]|1?[0-9])"", ""[img=119]res://textures/icons/$0.png[/img]\\n"")))"),"[right][img=119]res://textures/icons/1.png[/img]\n")</f>
        <v>[right][img=119]res://textures/icons/1.png[/img]\n</v>
      </c>
      <c r="V365" s="4" t="str">
        <f>IFERROR(__xludf.DUMMYFUNCTION("SUBSTITUTE(SUBSTITUTE(SUBSTITUTE(SUBSTITUTE(REGEXREPLACE(SUBSTITUTE(SUBSTITUTE(SUBSTITUTE(SUBSTITUTE(REGEXREPLACE(I365, ""(\[([ROYGBPTQUXZC_]|1?[0-9])\])"", ""[img=45]res://textures/icons/$2.png[/img]""),""--"",""—""),""-&gt;"",""•""),""~@"", CONCATENATE(""["&amp;"i]"",REGEXEXTRACT(B365,""^([\s\S]*),|$""),""[/i]"")),""~"", CONCATENATE(""[i]"",B365,""[/i]"")),""(\([\s\S]*?\))"",""[i][color=#34343A]$0[/color][/i]""), ""&lt;"", ""[""), ""&gt;"", ""]""), ""[/p][p]"", ""[font_size=15]\n\n[/font_size]""), ""[br/]"", ""\n"")"),"[center]When [i]Explorer Drone[/i] enters a discard, draw a card.[/center]")</f>
        <v xml:space="preserve">[center]When [i]Explorer Drone[/i] enters a discard, draw a card.[/center]</v>
      </c>
      <c r="W365" s="4" t="str">
        <f t="shared" si="21"/>
        <v>[i]Asset[/i]</v>
      </c>
      <c r="X365" s="4" t="str">
        <f t="shared" si="22"/>
        <v>RT_CC_005</v>
      </c>
    </row>
    <row r="366">
      <c r="A366" s="1" t="s">
        <v>1409</v>
      </c>
      <c r="B366" s="1" t="s">
        <v>1410</v>
      </c>
      <c r="C366" s="2" t="s">
        <v>44</v>
      </c>
      <c r="D366" s="6" t="str">
        <f>IFERROR(__xludf.DUMMYFUNCTION("IF(EQ(A366,B366),"""",SWITCH(IF(T366="""",0,COUNTA(SPLIT(T366,"" ""))),0,""Generic"",1,TRIM(T366),2,""Multicolor"",3,""Multicolor"",4,""Multicolor"",5,""Multicolor"",6,""Multicolor"",7,""Multicolor"",8,""Multicolor""))"),"Generic")</f>
        <v>Generic</v>
      </c>
      <c r="E366" s="1"/>
      <c r="F366" s="1" t="s">
        <v>26</v>
      </c>
      <c r="G366" s="1" t="s">
        <v>1411</v>
      </c>
      <c r="H366" s="2" t="s">
        <v>50</v>
      </c>
      <c r="I366" s="7" t="s">
        <v>1412</v>
      </c>
      <c r="J366" s="3"/>
      <c r="K366" s="1"/>
      <c r="L366" s="1"/>
      <c r="O366" s="3"/>
      <c r="Q366" s="1">
        <v>60</v>
      </c>
      <c r="R366" s="1">
        <v>35</v>
      </c>
      <c r="S366" s="4" t="str">
        <f t="shared" si="20"/>
        <v>False</v>
      </c>
      <c r="T366" s="4" t="str">
        <f>IFERROR(__xludf.DUMMYFUNCTION("CONCATENATE(if(REGEXMATCH(C366,""R""),"" Red"",""""),if(REGEXMATCH(C366,""O""),"" Orange"",""""),if(REGEXMATCH(C366,""Y""),"" Yellow"",""""),if(REGEXMATCH(C366,""G""),"" Green"",""""),if(REGEXMATCH(C366,""B""),"" Blue"",""""),if(REGEXMATCH(C366,""P""),"" "&amp;"Purple"",""""))"),"")</f>
        <v/>
      </c>
      <c r="U366" s="4" t="str">
        <f>IFERROR(__xludf.DUMMYFUNCTION("TRIM(CONCAT(""[right]"", REGEXREPLACE(C366, ""([ROYGBPXZC_]|1?[0-9])"", ""[img=119]res://textures/icons/$0.png[/img]\\n"")))"),"[right][img=119]res://textures/icons/2.png[/img]\n")</f>
        <v>[right][img=119]res://textures/icons/2.png[/img]\n</v>
      </c>
      <c r="V366" s="4" t="str">
        <f>IFERROR(__xludf.DUMMYFUNCTION("SUBSTITUTE(SUBSTITUTE(SUBSTITUTE(SUBSTITUTE(REGEXREPLACE(SUBSTITUTE(SUBSTITUTE(SUBSTITUTE(SUBSTITUTE(REGEXREPLACE(I366, ""(\[([ROYGBPTQUXZC_]|1?[0-9])\])"", ""[img=45]res://textures/icons/$2.png[/img]""),""--"",""—""),""-&gt;"",""•""),""~@"", CONCATENATE(""["&amp;"i]"",REGEXEXTRACT(B366,""^([\s\S]*),|$""),""[/i]"")),""~"", CONCATENATE(""[i]"",B366,""[/i]"")),""(\([\s\S]*?\))"",""[i][color=#34343A]$0[/color][/i]""), ""&lt;"", ""[""), ""&gt;"", ""]""), ""[/p][p]"", ""[font_size=15]\n\n[/font_size]""), ""[br/]"", ""\n"")"),"[center][u]Tradeable[/u] [i][color=#34343A](Once each turn, you may pay [i]Pirate Suit[/i]'s cost, if you do choose another asset; attach [i]Pirate Suit[/i] to it.)[/color][/i][/center][p]When [i]Pirate Suit[/i] enters the battlefield, attach it to a comb"&amp;"atant of your choice.[font_size=15]\n\n[/font_size]The attached combatant is a ranged 4/4. It gets an additional +2/+2 if you control an exhausted Source generator.[font_size=15]\n\n[/font_size]If the attached asset would die, [u]forfeit[/u] [i][color=#34"&amp;"343A](Put the specified card into its owner's discard.)[/color][/i] [i]Pirate Suit[/i].[/p]")</f>
        <v xml:space="preserve">[center][u]Tradeable[/u] [i][color=#34343A](Once each turn, you may pay [i]Pirate Suit[/i]'s cost, if you do choose another asset; attach [i]Pirate Suit[/i] to it.)[/color][/i][/center][p]When [i]Pirate Suit[/i] enters the battlefield, attach it to a combatant of your choice.[font_size=15]\n\n[/font_size]The attached combatant is a ranged 4/4. It gets an additional +2/+2 if you control an exhausted Source generator.[font_size=15]\n\n[/font_size]If the attached asset would die, [u]forfeit[/u] [i][color=#34343A](Put the specified card into its owner's discard.)[/color][/i] [i]Pirate Suit[/i].[/p]</v>
      </c>
      <c r="W366" s="4" t="str">
        <f t="shared" si="21"/>
        <v>[i]Asset[/i]</v>
      </c>
      <c r="X366" s="4" t="str">
        <f t="shared" si="22"/>
        <v>RT_CC_006</v>
      </c>
    </row>
    <row r="367">
      <c r="A367" s="1" t="s">
        <v>1413</v>
      </c>
      <c r="B367" s="4" t="s">
        <v>1414</v>
      </c>
      <c r="C367" s="5" t="s">
        <v>32</v>
      </c>
      <c r="D367" s="6" t="str">
        <f>IFERROR(__xludf.DUMMYFUNCTION("IF(ISBLANK(A367),"""",SWITCH(IF(T367="""",0,COUNTA(SPLIT(T367,"" ""))),0,""Generic"",1,TRIM(T367),2,""Multicolor"",3,""Multicolor"",4,""Multicolor"",5,""Multicolor"",6,""Multicolor"",7,""Multicolor"",8,""Multicolor""))"),"Generic")</f>
        <v>Generic</v>
      </c>
      <c r="E367" s="4" t="s">
        <v>79</v>
      </c>
      <c r="F367" s="4" t="s">
        <v>26</v>
      </c>
      <c r="G367" s="4" t="s">
        <v>828</v>
      </c>
      <c r="H367" s="5" t="s">
        <v>44</v>
      </c>
      <c r="I367" s="3" t="s">
        <v>714</v>
      </c>
      <c r="J367" s="7" t="s">
        <v>1415</v>
      </c>
      <c r="K367" s="8">
        <v>4</v>
      </c>
      <c r="L367" s="8">
        <v>4</v>
      </c>
      <c r="O367" s="3"/>
      <c r="Q367" s="1">
        <v>60</v>
      </c>
      <c r="R367" s="1">
        <v>50</v>
      </c>
      <c r="S367" s="4" t="str">
        <f t="shared" si="20"/>
        <v>True</v>
      </c>
      <c r="T367" s="4" t="str">
        <f>IFERROR(__xludf.DUMMYFUNCTION("CONCATENATE(if(REGEXMATCH(C367,""R""),"" Red"",""""),if(REGEXMATCH(C367,""O""),"" Orange"",""""),if(REGEXMATCH(C367,""Y""),"" Yellow"",""""),if(REGEXMATCH(C367,""G""),"" Green"",""""),if(REGEXMATCH(C367,""B""),"" Blue"",""""),if(REGEXMATCH(C367,""P""),"" "&amp;"Purple"",""""))"),"")</f>
        <v/>
      </c>
      <c r="U367" s="4" t="str">
        <f>IFERROR(__xludf.DUMMYFUNCTION("TRIM(CONCAT(""[right]"", REGEXREPLACE(C367, ""([ROYGBPXZC_]|1?[0-9])"", ""[img=119]res://textures/icons/$0.png[/img]\\n"")))"),"[right][img=119]res://textures/icons/3.png[/img]\n")</f>
        <v>[right][img=119]res://textures/icons/3.png[/img]\n</v>
      </c>
      <c r="V367" s="4" t="str">
        <f>IFERROR(__xludf.DUMMYFUNCTION("SUBSTITUTE(SUBSTITUTE(SUBSTITUTE(SUBSTITUTE(REGEXREPLACE(SUBSTITUTE(SUBSTITUTE(SUBSTITUTE(SUBSTITUTE(REGEXREPLACE(I367, ""(\[([ROYGBPTQUXZC_]|1?[0-9])\])"", ""[img=45]res://textures/icons/$2.png[/img]""),""--"",""—""),""-&gt;"",""•""),""~@"", CONCATENATE(""["&amp;"i]"",REGEXEXTRACT(B367,""^([\s\S]*),|$""),""[/i]"")),""~"", CONCATENATE(""[i]"",B367,""[/i]"")),""(\([\s\S]*?\))"",""[i][color=#34343A]$0[/color][/i]""), ""&lt;"", ""[""), ""&gt;"", ""]""), ""[/p][p]"", ""[font_size=15]\n\n[/font_size]""), ""[br/]"", ""\n"")"),"[center][u]Vehicle[/u] [i][color=#34343A](When [i]Antique Sherman[/i] enters the battlefield, you may choose another asset to attach it to. The combined unit has all effects of both assets, and the highest attack power, health, and ranged status of the tw"&amp;"o.)[/color][/i][/center]")</f>
        <v xml:space="preserve">[center][u]Vehicle[/u] [i][color=#34343A](When [i]Antique Sherman[/i] enters the battlefield, you may choose another asset to attach it to. The combined unit has all effects of both assets, and the highest attack power, health, and ranged status of the two.)[/color][/i][/center]</v>
      </c>
      <c r="W367" s="4" t="str">
        <f t="shared" si="21"/>
        <v>[i]Asset[/i]</v>
      </c>
      <c r="X367" s="4" t="str">
        <f t="shared" si="22"/>
        <v>RT_CC_007</v>
      </c>
    </row>
    <row r="368">
      <c r="A368" s="1" t="s">
        <v>1416</v>
      </c>
      <c r="B368" s="4" t="s">
        <v>1417</v>
      </c>
      <c r="C368" s="5" t="s">
        <v>320</v>
      </c>
      <c r="D368" s="6" t="str">
        <f>IFERROR(__xludf.DUMMYFUNCTION("IF(ISBLANK(A368),"""",SWITCH(IF(T368="""",0,COUNTA(SPLIT(T368,"" ""))),0,""Generic"",1,TRIM(T368),2,""Multicolor"",3,""Multicolor"",4,""Multicolor"",5,""Multicolor"",6,""Multicolor"",7,""Multicolor"",8,""Multicolor""))"),"Generic")</f>
        <v>Generic</v>
      </c>
      <c r="E368" s="4"/>
      <c r="F368" s="4" t="s">
        <v>724</v>
      </c>
      <c r="G368" s="4" t="s">
        <v>1299</v>
      </c>
      <c r="H368" s="5" t="s">
        <v>32</v>
      </c>
      <c r="I368" s="7" t="s">
        <v>1418</v>
      </c>
      <c r="J368" s="3"/>
      <c r="K368" s="1"/>
      <c r="L368" s="1"/>
      <c r="O368" s="3"/>
      <c r="Q368" s="1">
        <v>60</v>
      </c>
      <c r="R368" s="1">
        <v>50</v>
      </c>
      <c r="S368" s="4" t="str">
        <f t="shared" si="20"/>
        <v>False</v>
      </c>
      <c r="T368" s="4" t="str">
        <f>IFERROR(__xludf.DUMMYFUNCTION("CONCATENATE(if(REGEXMATCH(C368,""R""),"" Red"",""""),if(REGEXMATCH(C368,""O""),"" Orange"",""""),if(REGEXMATCH(C368,""Y""),"" Yellow"",""""),if(REGEXMATCH(C368,""G""),"" Green"",""""),if(REGEXMATCH(C368,""B""),"" Blue"",""""),if(REGEXMATCH(C368,""P""),"" "&amp;"Purple"",""""))"),"")</f>
        <v/>
      </c>
      <c r="U368" s="4" t="str">
        <f>IFERROR(__xludf.DUMMYFUNCTION("TRIM(CONCAT(""[right]"", REGEXREPLACE(C368, ""([ROYGBPXZC_]|1?[0-9])"", ""[img=119]res://textures/icons/$0.png[/img]\\n"")))"),"[right]")</f>
        <v>[right]</v>
      </c>
      <c r="V368" s="4" t="str">
        <f>IFERROR(__xludf.DUMMYFUNCTION("SUBSTITUTE(SUBSTITUTE(SUBSTITUTE(SUBSTITUTE(REGEXREPLACE(SUBSTITUTE(SUBSTITUTE(SUBSTITUTE(SUBSTITUTE(REGEXREPLACE(I368, ""(\[([ROYGBPTQUXZC_]|1?[0-9])\])"", ""[img=45]res://textures/icons/$2.png[/img]""),""--"",""—""),""-&gt;"",""•""),""~@"", CONCATENATE(""["&amp;"i]"",REGEXEXTRACT(B368,""^([\s\S]*),|$""),""[/i]"")),""~"", CONCATENATE(""[i]"",B368,""[/i]"")),""(\([\s\S]*?\))"",""[i][color=#34343A]$0[/color][/i]""), ""&lt;"", ""[""), ""&gt;"", ""]""), ""[/p][p]"", ""[font_size=15]\n\n[/font_size]""), ""[br/]"", ""\n"")"),"[center][i][color=#34343A](Generators are not assets or effects. You may only play [i]Power Source[/i] whenever you have the option to hire a generator, instead of hiring any other card as a generator. [b]A deck may run any number of [i]Power Source[/i]s."&amp;"[/b])[/color][/i][/center][p][img=45]res://textures/icons/T.png[/img]: Add [img=45]res://textures/icons/C.png[/img].[font_size=15]\n\n[/font_size][img=45]res://textures/icons/1.png[/img], [img=45]res://textures/icons/T.png[/img]: Choose a generator to exh"&amp;"aust.[/p]")</f>
        <v xml:space="preserve">[center][i][color=#34343A](Generators are not assets or effects. You may only play [i]Power Source[/i] whenever you have the option to hire a generator, instead of hiring any other card as a generator. [b]A deck may run any number of [i]Power Source[/i]s.[/b])[/color][/i][/center][p][img=45]res://textures/icons/T.png[/img]: Add [img=45]res://textures/icons/C.png[/img].[font_size=15]\n\n[/font_size][img=45]res://textures/icons/1.png[/img], [img=45]res://textures/icons/T.png[/img]: Choose a generator to exhaust.[/p]</v>
      </c>
      <c r="W368" s="4" t="str">
        <f t="shared" si="21"/>
        <v>[i]Generator[/i]</v>
      </c>
      <c r="X368" s="4" t="str">
        <f t="shared" si="22"/>
        <v>RT_CC_008</v>
      </c>
    </row>
    <row r="369">
      <c r="A369" s="1" t="s">
        <v>1419</v>
      </c>
      <c r="B369" s="4" t="s">
        <v>1420</v>
      </c>
      <c r="C369" s="5" t="s">
        <v>134</v>
      </c>
      <c r="D369" s="6" t="str">
        <f>IFERROR(__xludf.DUMMYFUNCTION("IF(EQ(A369,B369),"""",SWITCH(IF(T369="""",0,COUNTA(SPLIT(T369,"" ""))),0,""Generic"",1,TRIM(T369),2,""Multicolor"",3,""Multicolor"",4,""Multicolor"",5,""Multicolor"",6,""Multicolor"",7,""Multicolor"",8,""Multicolor""))"),"Generic")</f>
        <v>Generic</v>
      </c>
      <c r="E369" s="4"/>
      <c r="F369" s="4" t="s">
        <v>33</v>
      </c>
      <c r="G369" s="4"/>
      <c r="H369" s="5" t="s">
        <v>32</v>
      </c>
      <c r="I369" s="7" t="s">
        <v>1421</v>
      </c>
      <c r="J369" s="3"/>
      <c r="K369" s="1"/>
      <c r="L369" s="1"/>
      <c r="O369" s="3"/>
      <c r="Q369" s="1">
        <v>60</v>
      </c>
      <c r="R369" s="1">
        <v>50</v>
      </c>
      <c r="S369" s="4" t="str">
        <f t="shared" si="20"/>
        <v>False</v>
      </c>
      <c r="T369" s="4" t="str">
        <f>IFERROR(__xludf.DUMMYFUNCTION("CONCATENATE(if(REGEXMATCH(C369,""R""),"" Red"",""""),if(REGEXMATCH(C369,""O""),"" Orange"",""""),if(REGEXMATCH(C369,""Y""),"" Yellow"",""""),if(REGEXMATCH(C369,""G""),"" Green"",""""),if(REGEXMATCH(C369,""B""),"" Blue"",""""),if(REGEXMATCH(C369,""P""),"" "&amp;"Purple"",""""))"),"")</f>
        <v/>
      </c>
      <c r="U369" s="4" t="str">
        <f>IFERROR(__xludf.DUMMYFUNCTION("TRIM(CONCAT(""[right]"", REGEXREPLACE(C369, ""([ROYGBPXZC_]|1?[0-9])"", ""[img=119]res://textures/icons/$0.png[/img]\\n"")))"),"[right][img=119]res://textures/icons/4.png[/img]\n")</f>
        <v>[right][img=119]res://textures/icons/4.png[/img]\n</v>
      </c>
      <c r="V369" s="4" t="str">
        <f>IFERROR(__xludf.DUMMYFUNCTION("SUBSTITUTE(SUBSTITUTE(SUBSTITUTE(SUBSTITUTE(REGEXREPLACE(SUBSTITUTE(SUBSTITUTE(SUBSTITUTE(SUBSTITUTE(REGEXREPLACE(I369, ""(\[([ROYGBPTQUXZC_]|1?[0-9])\])"", ""[img=45]res://textures/icons/$2.png[/img]""),""--"",""—""),""-&gt;"",""•""),""~@"", CONCATENATE(""["&amp;"i]"",REGEXEXTRACT(B369,""^([\s\S]*),|$""),""[/i]"")),""~"", CONCATENATE(""[i]"",B369,""[/i]"")),""(\([\s\S]*?\))"",""[i][color=#34343A]$0[/color][/i]""), ""&lt;"", ""[""), ""&gt;"", ""]""), ""[/p][p]"", ""[font_size=15]\n\n[/font_size]""), ""[br/]"", ""\n"")"),"Choose any number of players; they shuffle their hands into their decks, then draw the same number of cards.")</f>
        <v xml:space="preserve">Choose any number of players; they shuffle their hands into their decks, then draw the same number of cards.</v>
      </c>
      <c r="W369" s="4" t="str">
        <f t="shared" si="21"/>
        <v>[i]Effect[/i]</v>
      </c>
      <c r="X369" s="4" t="str">
        <f t="shared" si="22"/>
        <v>RT_CC_009</v>
      </c>
    </row>
    <row r="370">
      <c r="A370" s="1" t="s">
        <v>1422</v>
      </c>
      <c r="B370" s="4" t="s">
        <v>1423</v>
      </c>
      <c r="C370" s="5" t="s">
        <v>50</v>
      </c>
      <c r="D370" s="6" t="s">
        <v>67</v>
      </c>
      <c r="E370" s="4"/>
      <c r="F370" s="4" t="s">
        <v>33</v>
      </c>
      <c r="G370" s="4"/>
      <c r="H370" s="5" t="s">
        <v>32</v>
      </c>
      <c r="I370" s="7" t="s">
        <v>1424</v>
      </c>
      <c r="J370" s="3"/>
      <c r="K370" s="1"/>
      <c r="L370" s="1"/>
      <c r="O370" s="3"/>
      <c r="Q370" s="1">
        <v>60</v>
      </c>
      <c r="R370" s="1">
        <v>50</v>
      </c>
      <c r="S370" s="4" t="str">
        <f t="shared" si="20"/>
        <v>False</v>
      </c>
      <c r="T370" s="4" t="str">
        <f>IFERROR(__xludf.DUMMYFUNCTION("CONCATENATE(if(REGEXMATCH(C370,""R""),"" Red"",""""),if(REGEXMATCH(C370,""O""),"" Orange"",""""),if(REGEXMATCH(C370,""Y""),"" Yellow"",""""),if(REGEXMATCH(C370,""G""),"" Green"",""""),if(REGEXMATCH(C370,""B""),"" Blue"",""""),if(REGEXMATCH(C370,""P""),"" "&amp;"Purple"",""""))"),"")</f>
        <v/>
      </c>
      <c r="U370" s="4" t="str">
        <f>IFERROR(__xludf.DUMMYFUNCTION("TRIM(CONCAT(""[right]"", REGEXREPLACE(C370, ""([ROYGBPXZC_]|1?[0-9])"", ""[img=119]res://textures/icons/$0.png[/img]\\n"")))"),"[right][img=119]res://textures/icons/1.png[/img]\n")</f>
        <v>[right][img=119]res://textures/icons/1.png[/img]\n</v>
      </c>
      <c r="V370" s="4" t="str">
        <f>IFERROR(__xludf.DUMMYFUNCTION("SUBSTITUTE(SUBSTITUTE(SUBSTITUTE(SUBSTITUTE(REGEXREPLACE(SUBSTITUTE(SUBSTITUTE(SUBSTITUTE(SUBSTITUTE(REGEXREPLACE(I370, ""(\[([ROYGBPTQUXZC_]|1?[0-9])\])"", ""[img=45]res://textures/icons/$2.png[/img]""),""--"",""—""),""-&gt;"",""•""),""~@"", CONCATENATE(""["&amp;"i]"",REGEXEXTRACT(B370,""^([\s\S]*),|$""),""[/i]"")),""~"", CONCATENATE(""[i]"",B370,""[/i]"")),""(\([\s\S]*?\))"",""[i][color=#34343A]$0[/color][/i]""), ""&lt;"", ""[""), ""&gt;"", ""]""), ""[/p][p]"", ""[font_size=15]\n\n[/font_size]""), ""[br/]"", ""\n"")"),"Draw 2 cards, then put at least 2 cards from your hand on the top or bottom of your deck.")</f>
        <v xml:space="preserve">Draw 2 cards, then put at least 2 cards from your hand on the top or bottom of your deck.</v>
      </c>
      <c r="W370" s="4" t="str">
        <f t="shared" si="21"/>
        <v>[i]Effect[/i]</v>
      </c>
      <c r="X370" s="4" t="str">
        <f t="shared" si="22"/>
        <v>RT_CC_010</v>
      </c>
    </row>
    <row r="371">
      <c r="A371" s="1" t="s">
        <v>1425</v>
      </c>
      <c r="B371" s="4" t="s">
        <v>1426</v>
      </c>
      <c r="C371" s="5" t="s">
        <v>50</v>
      </c>
      <c r="D371" s="6" t="s">
        <v>67</v>
      </c>
      <c r="E371" s="4" t="s">
        <v>51</v>
      </c>
      <c r="F371" s="4" t="s">
        <v>26</v>
      </c>
      <c r="G371" s="4" t="s">
        <v>273</v>
      </c>
      <c r="H371" s="5" t="s">
        <v>50</v>
      </c>
      <c r="I371" s="7"/>
      <c r="J371" s="3"/>
      <c r="K371" s="1">
        <v>1</v>
      </c>
      <c r="L371" s="1">
        <v>1</v>
      </c>
      <c r="O371" s="3"/>
      <c r="Q371" s="1">
        <v>60</v>
      </c>
      <c r="R371" s="1">
        <v>50</v>
      </c>
      <c r="S371" s="4" t="str">
        <f t="shared" si="20"/>
        <v>True</v>
      </c>
      <c r="T371" s="4" t="str">
        <f>IFERROR(__xludf.DUMMYFUNCTION("CONCATENATE(if(REGEXMATCH(C371,""R""),"" Red"",""""),if(REGEXMATCH(C371,""O""),"" Orange"",""""),if(REGEXMATCH(C371,""Y""),"" Yellow"",""""),if(REGEXMATCH(C371,""G""),"" Green"",""""),if(REGEXMATCH(C371,""B""),"" Blue"",""""),if(REGEXMATCH(C371,""P""),"" "&amp;"Purple"",""""))"),"")</f>
        <v/>
      </c>
      <c r="U371" s="4" t="str">
        <f>IFERROR(__xludf.DUMMYFUNCTION("TRIM(CONCAT(""[right]"", REGEXREPLACE(C371, ""([ROYGBPXZC_]|1?[0-9])"", ""[img=119]res://textures/icons/$0.png[/img]\\n"")))"),"[right][img=119]res://textures/icons/1.png[/img]\n")</f>
        <v>[right][img=119]res://textures/icons/1.png[/img]\n</v>
      </c>
      <c r="V371" s="4" t="str">
        <f>IFERROR(__xludf.DUMMYFUNCTION("SUBSTITUTE(SUBSTITUTE(SUBSTITUTE(SUBSTITUTE(REGEXREPLACE(SUBSTITUTE(SUBSTITUTE(SUBSTITUTE(SUBSTITUTE(REGEXREPLACE(I371, ""(\[([ROYGBPTQUXZC_]|1?[0-9])\])"", ""[img=45]res://textures/icons/$2.png[/img]""),""--"",""—""),""-&gt;"",""•""),""~@"", CONCATENATE(""["&amp;"i]"",REGEXEXTRACT(B371,""^([\s\S]*),|$""),""[/i]"")),""~"", CONCATENATE(""[i]"",B371,""[/i]"")),""(\([\s\S]*?\))"",""[i][color=#34343A]$0[/color][/i]""), ""&lt;"", ""[""), ""&gt;"", ""]""), ""[/p][p]"", ""[font_size=15]\n\n[/font_size]""), ""[br/]"", ""\n"")"),"")</f>
        <v/>
      </c>
      <c r="W371" s="4" t="str">
        <f t="shared" si="21"/>
        <v>[i]Asset[/i]</v>
      </c>
      <c r="X371" s="4" t="str">
        <f t="shared" si="22"/>
        <v>RT_CC_011</v>
      </c>
    </row>
    <row r="372">
      <c r="A372" s="1" t="s">
        <v>1427</v>
      </c>
      <c r="B372" s="4" t="s">
        <v>1428</v>
      </c>
      <c r="C372" s="5" t="s">
        <v>25</v>
      </c>
      <c r="D372" s="6" t="s">
        <v>67</v>
      </c>
      <c r="E372" s="4"/>
      <c r="F372" s="4" t="s">
        <v>26</v>
      </c>
      <c r="G372" s="4" t="s">
        <v>1343</v>
      </c>
      <c r="H372" s="5" t="s">
        <v>44</v>
      </c>
      <c r="I372" s="7" t="s">
        <v>1429</v>
      </c>
      <c r="J372" s="3"/>
      <c r="K372" s="1"/>
      <c r="L372" s="1"/>
      <c r="O372" s="3"/>
      <c r="Q372" s="1">
        <v>60</v>
      </c>
      <c r="R372" s="1">
        <v>50</v>
      </c>
      <c r="S372" s="4" t="str">
        <f t="shared" si="20"/>
        <v>False</v>
      </c>
      <c r="T372" s="4" t="str">
        <f>IFERROR(__xludf.DUMMYFUNCTION("CONCATENATE(if(REGEXMATCH(C372,""R""),"" Red"",""""),if(REGEXMATCH(C372,""O""),"" Orange"",""""),if(REGEXMATCH(C372,""Y""),"" Yellow"",""""),if(REGEXMATCH(C372,""G""),"" Green"",""""),if(REGEXMATCH(C372,""B""),"" Blue"",""""),if(REGEXMATCH(C372,""P""),"" "&amp;"Purple"",""""))"),"")</f>
        <v/>
      </c>
      <c r="U372" s="4" t="str">
        <f>IFERROR(__xludf.DUMMYFUNCTION("TRIM(CONCAT(""[right]"", REGEXREPLACE(C372, ""([ROYGBPXZC_]|1?[0-9])"", ""[img=119]res://textures/icons/$0.png[/img]\\n"")))"),"[right][img=119]res://textures/icons/0.png[/img]\n")</f>
        <v>[right][img=119]res://textures/icons/0.png[/img]\n</v>
      </c>
      <c r="V372" s="4" t="str">
        <f>IFERROR(__xludf.DUMMYFUNCTION("SUBSTITUTE(SUBSTITUTE(SUBSTITUTE(SUBSTITUTE(REGEXREPLACE(SUBSTITUTE(SUBSTITUTE(SUBSTITUTE(SUBSTITUTE(REGEXREPLACE(I372, ""(\[([ROYGBPTQUXZC_]|1?[0-9])\])"", ""[img=45]res://textures/icons/$2.png[/img]""),""--"",""—""),""-&gt;"",""•""),""~@"", CONCATENATE(""["&amp;"i]"",REGEXEXTRACT(B372,""^([\s\S]*),|$""),""[/i]"")),""~"", CONCATENATE(""[i]"",B372,""[/i]"")),""(\([\s\S]*?\))"",""[i][color=#34343A]$0[/color][/i]""), ""&lt;"", ""[""), ""&gt;"", ""]""), ""[/p][p]"", ""[font_size=15]\n\n[/font_size]""), ""[br/]"", ""\n"")"),"[center][u]Ammo 10[/u] [i][color=#34343A](Whenever the attached asset attacks or intercepts, reduce [i]Ballistic Pistol[/i]'s ammo by 1 [to a minimum of 0.] Instead of expending an ammo you may treat [i]Ballistic Pistol[/i] as if it had ammo 0 until end o"&amp;"f turn.)[/color][/i], [u]Gun[/u] [i][color=#34343A](As long as [i]Ballistic Pistol[/i] has ammo, the attached asset is ranged.)[/color][/i], [u]Tradeable[/u][/center][p]When [i]Ballistic Pistol[/i] enters the battlefield, choose an asset to attach it to.["&amp;"font_size=15]\n\n[/font_size]As long as [i]Ballistic Pistol[/i] has ammo, the attached asset gets +1/+0.[/p]")</f>
        <v xml:space="preserve">[center][u]Ammo 10[/u] [i][color=#34343A](Whenever the attached asset attacks or intercepts, reduce [i]Ballistic Pistol[/i]'s ammo by 1 [to a minimum of 0.] Instead of expending an ammo you may treat [i]Ballistic Pistol[/i] as if it had ammo 0 until end of turn.)[/color][/i], [u]Gun[/u] [i][color=#34343A](As long as [i]Ballistic Pistol[/i] has ammo, the attached asset is ranged.)[/color][/i], [u]Tradeable[/u][/center][p]When [i]Ballistic Pistol[/i] enters the battlefield, choose an asset to attach it to.[font_size=15]\n\n[/font_size]As long as [i]Ballistic Pistol[/i] has ammo, the attached asset gets +1/+0.[/p]</v>
      </c>
      <c r="W372" s="4" t="str">
        <f t="shared" si="21"/>
        <v>[i]Asset[/i]</v>
      </c>
      <c r="X372" s="4" t="str">
        <f t="shared" si="22"/>
        <v>RT_CC_012</v>
      </c>
    </row>
    <row r="373">
      <c r="A373" s="1" t="s">
        <v>1430</v>
      </c>
      <c r="B373" s="4" t="s">
        <v>1431</v>
      </c>
      <c r="C373" s="5" t="s">
        <v>44</v>
      </c>
      <c r="D373" s="6" t="s">
        <v>67</v>
      </c>
      <c r="E373" s="4"/>
      <c r="F373" s="4" t="s">
        <v>33</v>
      </c>
      <c r="G373" s="4" t="s">
        <v>118</v>
      </c>
      <c r="H373" s="5" t="s">
        <v>32</v>
      </c>
      <c r="I373" s="7" t="s">
        <v>1432</v>
      </c>
      <c r="J373" s="3"/>
      <c r="K373" s="1"/>
      <c r="O373" s="3"/>
      <c r="Q373" s="1">
        <v>60</v>
      </c>
      <c r="R373" s="1">
        <v>50</v>
      </c>
      <c r="S373" s="4" t="str">
        <f t="shared" si="20"/>
        <v>False</v>
      </c>
      <c r="T373" s="4" t="str">
        <f>IFERROR(__xludf.DUMMYFUNCTION("CONCATENATE(if(REGEXMATCH(C373,""R""),"" Red"",""""),if(REGEXMATCH(C373,""O""),"" Orange"",""""),if(REGEXMATCH(C373,""Y""),"" Yellow"",""""),if(REGEXMATCH(C373,""G""),"" Green"",""""),if(REGEXMATCH(C373,""B""),"" Blue"",""""),if(REGEXMATCH(C373,""P""),"" "&amp;"Purple"",""""))"),"")</f>
        <v/>
      </c>
      <c r="U373" s="4" t="str">
        <f>IFERROR(__xludf.DUMMYFUNCTION("TRIM(CONCAT(""[right]"", REGEXREPLACE(C373, ""([ROYGBPXZC_]|1?[0-9])"", ""[img=119]res://textures/icons/$0.png[/img]\\n"")))"),"[right][img=119]res://textures/icons/2.png[/img]\n")</f>
        <v>[right][img=119]res://textures/icons/2.png[/img]\n</v>
      </c>
      <c r="V373" s="4" t="str">
        <f>IFERROR(__xludf.DUMMYFUNCTION("SUBSTITUTE(SUBSTITUTE(SUBSTITUTE(SUBSTITUTE(REGEXREPLACE(SUBSTITUTE(SUBSTITUTE(SUBSTITUTE(SUBSTITUTE(REGEXREPLACE(I373, ""(\[([ROYGBPTQUXZC_]|1?[0-9])\])"", ""[img=45]res://textures/icons/$2.png[/img]""),""--"",""—""),""-&gt;"",""•""),""~@"", CONCATENATE(""["&amp;"i]"",REGEXEXTRACT(B373,""^([\s\S]*),|$""),""[/i]"")),""~"", CONCATENATE(""[i]"",B373,""[/i]"")),""(\([\s\S]*?\))"",""[i][color=#34343A]$0[/color][/i]""), ""&lt;"", ""[""), ""&gt;"", ""]""), ""[/p][p]"", ""[font_size=15]\n\n[/font_size]""), ""[br/]"", ""\n"")"),"[p]Choose a combatant; [u]taunt[/u] [i][color=#34343A](The next time it has a chance to attack, it must attack)[/color][/i] it.[font_size=15]\n\n[/font_size]You may pay [img=45]res://textures/icons/1.png[/img], if you do [u]taunt[/u] both combatants adjac"&amp;"ent to the chosen combatant[/p]")</f>
        <v xml:space="preserve">[p]Choose a combatant; [u]taunt[/u] [i][color=#34343A](The next time it has a chance to attack, it must attack)[/color][/i] it.[font_size=15]\n\n[/font_size]You may pay [img=45]res://textures/icons/1.png[/img], if you do [u]taunt[/u] both combatants adjacent to the chosen combatant[/p]</v>
      </c>
      <c r="W373" s="4" t="str">
        <f t="shared" si="21"/>
        <v>[i]Effect[/i]</v>
      </c>
      <c r="X373" s="4" t="str">
        <f t="shared" si="22"/>
        <v>RT_CC_013</v>
      </c>
    </row>
    <row r="374">
      <c r="A374" s="1" t="s">
        <v>1433</v>
      </c>
      <c r="B374" s="4" t="s">
        <v>1434</v>
      </c>
      <c r="C374" s="5" t="s">
        <v>44</v>
      </c>
      <c r="D374" s="6" t="s">
        <v>67</v>
      </c>
      <c r="E374" s="4"/>
      <c r="F374" s="4" t="s">
        <v>33</v>
      </c>
      <c r="G374" s="4"/>
      <c r="H374" s="5" t="s">
        <v>134</v>
      </c>
      <c r="I374" s="7" t="s">
        <v>1435</v>
      </c>
      <c r="J374" s="3"/>
      <c r="K374" s="1"/>
      <c r="O374" s="3"/>
      <c r="Q374" s="1">
        <v>50</v>
      </c>
      <c r="R374" s="1">
        <v>50</v>
      </c>
      <c r="S374" s="4" t="str">
        <f t="shared" si="20"/>
        <v>False</v>
      </c>
      <c r="T374" s="4" t="str">
        <f>IFERROR(__xludf.DUMMYFUNCTION("CONCATENATE(if(REGEXMATCH(C374,""R""),"" Red"",""""),if(REGEXMATCH(C374,""O""),"" Orange"",""""),if(REGEXMATCH(C374,""Y""),"" Yellow"",""""),if(REGEXMATCH(C374,""G""),"" Green"",""""),if(REGEXMATCH(C374,""B""),"" Blue"",""""),if(REGEXMATCH(C374,""P""),"" "&amp;"Purple"",""""))"),"")</f>
        <v/>
      </c>
      <c r="U374" s="4" t="str">
        <f>IFERROR(__xludf.DUMMYFUNCTION("TRIM(CONCAT(""[right]"", REGEXREPLACE(C374, ""([ROYGBPXZC_]|1?[0-9])"", ""[img=119]res://textures/icons/$0.png[/img]\\n"")))"),"[right][img=119]res://textures/icons/2.png[/img]\n")</f>
        <v>[right][img=119]res://textures/icons/2.png[/img]\n</v>
      </c>
      <c r="V374" s="4" t="str">
        <f>IFERROR(__xludf.DUMMYFUNCTION("SUBSTITUTE(SUBSTITUTE(SUBSTITUTE(SUBSTITUTE(REGEXREPLACE(SUBSTITUTE(SUBSTITUTE(SUBSTITUTE(SUBSTITUTE(REGEXREPLACE(I374, ""(\[([ROYGBPTQUXZC_]|1?[0-9])\])"", ""[img=45]res://textures/icons/$2.png[/img]""),""--"",""—""),""-&gt;"",""•""),""~@"", CONCATENATE(""["&amp;"i]"",REGEXEXTRACT(B374,""^([\s\S]*),|$""),""[/i]"")),""~"", CONCATENATE(""[i]"",B374,""[/i]"")),""(\([\s\S]*?\))"",""[i][color=#34343A]$0[/color][/i]""), ""&lt;"", ""[""), ""&gt;"", ""]""), ""[/p][p]"", ""[font_size=15]\n\n[/font_size]""), ""[br/]"", ""\n"")"),"Chose another player; then reveal 4 random cards from your deck, that opponent chooses 2 for you to draw, discard the rest.")</f>
        <v xml:space="preserve">Chose another player; then reveal 4 random cards from your deck, that opponent chooses 2 for you to draw, discard the rest.</v>
      </c>
      <c r="W374" s="4" t="str">
        <f t="shared" si="21"/>
        <v>[i]Effect[/i]</v>
      </c>
      <c r="X374" s="4" t="str">
        <f t="shared" si="22"/>
        <v>RT_CC_014</v>
      </c>
    </row>
    <row r="375">
      <c r="A375" s="1" t="s">
        <v>1436</v>
      </c>
      <c r="B375" s="4" t="s">
        <v>1437</v>
      </c>
      <c r="C375" s="5" t="s">
        <v>44</v>
      </c>
      <c r="D375" s="6" t="s">
        <v>67</v>
      </c>
      <c r="E375" s="4" t="s">
        <v>51</v>
      </c>
      <c r="F375" s="4" t="s">
        <v>26</v>
      </c>
      <c r="G375" s="4" t="s">
        <v>1438</v>
      </c>
      <c r="H375" s="5" t="s">
        <v>25</v>
      </c>
      <c r="I375" s="7" t="s">
        <v>320</v>
      </c>
      <c r="J375" s="3" t="s">
        <v>320</v>
      </c>
      <c r="K375" s="1">
        <v>1</v>
      </c>
      <c r="L375" s="1">
        <v>1</v>
      </c>
      <c r="O375" s="3"/>
      <c r="Q375" s="1">
        <v>50</v>
      </c>
      <c r="R375" s="1">
        <v>50</v>
      </c>
      <c r="S375" s="4" t="str">
        <f t="shared" si="20"/>
        <v>True</v>
      </c>
      <c r="T375" s="4" t="str">
        <f>IFERROR(__xludf.DUMMYFUNCTION("CONCATENATE(if(REGEXMATCH(C375,""R""),"" Red"",""""),if(REGEXMATCH(C375,""O""),"" Orange"",""""),if(REGEXMATCH(C375,""Y""),"" Yellow"",""""),if(REGEXMATCH(C375,""G""),"" Green"",""""),if(REGEXMATCH(C375,""B""),"" Blue"",""""),if(REGEXMATCH(C375,""P""),"" "&amp;"Purple"",""""))"),"")</f>
        <v/>
      </c>
      <c r="U375" s="4" t="str">
        <f>IFERROR(__xludf.DUMMYFUNCTION("TRIM(CONCAT(""[right]"", REGEXREPLACE(C375, ""([ROYGBPXZC_]|1?[0-9])"", ""[img=119]res://textures/icons/$0.png[/img]\\n"")))"),"[right][img=119]res://textures/icons/2.png[/img]\n")</f>
        <v>[right][img=119]res://textures/icons/2.png[/img]\n</v>
      </c>
      <c r="V375" s="4" t="str">
        <f>IFERROR(__xludf.DUMMYFUNCTION("SUBSTITUTE(SUBSTITUTE(SUBSTITUTE(SUBSTITUTE(REGEXREPLACE(SUBSTITUTE(SUBSTITUTE(SUBSTITUTE(SUBSTITUTE(REGEXREPLACE(I375, ""(\[([ROYGBPTQUXZC_]|1?[0-9])\])"", ""[img=45]res://textures/icons/$2.png[/img]""),""--"",""—""),""-&gt;"",""•""),""~@"", CONCATENATE(""["&amp;"i]"",REGEXEXTRACT(B375,""^([\s\S]*),|$""),""[/i]"")),""~"", CONCATENATE(""[i]"",B375,""[/i]"")),""(\([\s\S]*?\))"",""[i][color=#34343A]$0[/color][/i]""), ""&lt;"", ""[""), ""&gt;"", ""]""), ""[/p][p]"", ""[font_size=15]\n\n[/font_size]""), ""[br/]"", ""\n"")")," ")</f>
        <v/>
      </c>
      <c r="W375" s="4" t="str">
        <f t="shared" si="21"/>
        <v>[i]Asset[/i]</v>
      </c>
      <c r="X375" s="4" t="str">
        <f t="shared" ref="X375:X376" si="23">IF(EQ(A375,B375), "0", CONCATENATE("PD_", A375))</f>
        <v>PD_CC_015</v>
      </c>
    </row>
    <row r="376">
      <c r="A376" s="1" t="s">
        <v>1439</v>
      </c>
      <c r="B376" s="4" t="s">
        <v>1440</v>
      </c>
      <c r="C376" s="5" t="s">
        <v>44</v>
      </c>
      <c r="D376" s="6" t="s">
        <v>67</v>
      </c>
      <c r="E376" s="4"/>
      <c r="F376" s="4" t="s">
        <v>33</v>
      </c>
      <c r="G376" s="4" t="s">
        <v>74</v>
      </c>
      <c r="H376" s="5" t="s">
        <v>25</v>
      </c>
      <c r="I376" s="7" t="s">
        <v>1441</v>
      </c>
      <c r="J376" s="3"/>
      <c r="K376" s="1"/>
      <c r="O376" s="3"/>
      <c r="Q376" s="1">
        <v>50</v>
      </c>
      <c r="R376" s="1">
        <v>50</v>
      </c>
      <c r="S376" s="4" t="str">
        <f t="shared" si="20"/>
        <v>False</v>
      </c>
      <c r="T376" s="4" t="str">
        <f>IFERROR(__xludf.DUMMYFUNCTION("CONCATENATE(if(REGEXMATCH(C376,""R""),"" Red"",""""),if(REGEXMATCH(C376,""O""),"" Orange"",""""),if(REGEXMATCH(C376,""Y""),"" Yellow"",""""),if(REGEXMATCH(C376,""G""),"" Green"",""""),if(REGEXMATCH(C376,""B""),"" Blue"",""""),if(REGEXMATCH(C376,""P""),"" "&amp;"Purple"",""""))"),"")</f>
        <v/>
      </c>
      <c r="U376" s="4" t="str">
        <f>IFERROR(__xludf.DUMMYFUNCTION("TRIM(CONCAT(""[right]"", REGEXREPLACE(C376, ""([ROYGBPXZC_]|1?[0-9])"", ""[img=119]res://textures/icons/$0.png[/img]\\n"")))"),"[right][img=119]res://textures/icons/2.png[/img]\n")</f>
        <v>[right][img=119]res://textures/icons/2.png[/img]\n</v>
      </c>
      <c r="V376" s="4" t="str">
        <f>IFERROR(__xludf.DUMMYFUNCTION("SUBSTITUTE(SUBSTITUTE(SUBSTITUTE(SUBSTITUTE(REGEXREPLACE(SUBSTITUTE(SUBSTITUTE(SUBSTITUTE(SUBSTITUTE(REGEXREPLACE(I376, ""(\[([ROYGBPTQUXZC_]|1?[0-9])\])"", ""[img=45]res://textures/icons/$2.png[/img]""),""--"",""—""),""-&gt;"",""•""),""~@"", CONCATENATE(""["&amp;"i]"",REGEXEXTRACT(B376,""^([\s\S]*),|$""),""[/i]"")),""~"", CONCATENATE(""[i]"",B376,""[/i]"")),""(\([\s\S]*?\))"",""[i][color=#34343A]$0[/color][/i]""), ""&lt;"", ""[""), ""&gt;"", ""]""), ""[/p][p]"", ""[font_size=15]\n\n[/font_size]""), ""[br/]"", ""\n"")"),"Choose a combatant; it permanently gains +1/+1.")</f>
        <v xml:space="preserve">Choose a combatant; it permanently gains +1/+1.</v>
      </c>
      <c r="W376" s="4" t="str">
        <f t="shared" si="21"/>
        <v>[i]Effect[/i]</v>
      </c>
      <c r="X376" s="4" t="str">
        <f t="shared" si="23"/>
        <v>PD_CC_016</v>
      </c>
    </row>
    <row r="377">
      <c r="A377" s="1" t="s">
        <v>1442</v>
      </c>
      <c r="B377" s="4" t="s">
        <v>1443</v>
      </c>
      <c r="C377" s="5" t="s">
        <v>236</v>
      </c>
      <c r="D377" s="6" t="str">
        <f>IFERROR(__xludf.DUMMYFUNCTION("IF(EQ(A377,B377),"""",SWITCH(IF(T377="""",0,COUNTA(SPLIT(T377,"" ""))),0,""Generic"",1,TRIM(T377),2,""Multicolor"",3,""Multicolor"",4,""Multicolor"",5,""Multicolor"",6,""Multicolor"",7,""Multicolor"",8,""Multicolor""))"),"Red")</f>
        <v>Red</v>
      </c>
      <c r="E377" s="4"/>
      <c r="F377" s="4" t="s">
        <v>33</v>
      </c>
      <c r="G377" s="4"/>
      <c r="H377" s="5" t="s">
        <v>81</v>
      </c>
      <c r="I377" s="7" t="s">
        <v>1444</v>
      </c>
      <c r="J377" s="3"/>
      <c r="K377" s="16" t="s">
        <v>29</v>
      </c>
      <c r="O377" s="3"/>
      <c r="Q377" s="1">
        <v>60</v>
      </c>
      <c r="R377" s="1">
        <v>50</v>
      </c>
      <c r="S377" s="4" t="str">
        <f t="shared" si="20"/>
        <v>False</v>
      </c>
      <c r="T377" s="4" t="str">
        <f>IFERROR(__xludf.DUMMYFUNCTION("CONCATENATE(if(REGEXMATCH(C377,""R""),"" Red"",""""),if(REGEXMATCH(C377,""O""),"" Orange"",""""),if(REGEXMATCH(C377,""Y""),"" Yellow"",""""),if(REGEXMATCH(C377,""G""),"" Green"",""""),if(REGEXMATCH(C377,""B""),"" Blue"",""""),if(REGEXMATCH(C377,""P""),"" "&amp;"Purple"",""""))")," Red")</f>
        <v>Red</v>
      </c>
      <c r="U377" s="4" t="str">
        <f>IFERROR(__xludf.DUMMYFUNCTION("TRIM(CONCAT(""[right]"", REGEXREPLACE(C377, ""([ROYGBPXZC_]|1?[0-9])"", ""[img=119]res://textures/icons/$0.png[/img]\\n"")))"),"[right][img=119]res://textures/icons/R.png[/img]\n[img=119]res://textures/icons/R.png[/img]\n")</f>
        <v>[right][img=119]res://textures/icons/R.png[/img]\n[img=119]res://textures/icons/R.png[/img]\n</v>
      </c>
      <c r="V377" s="4" t="str">
        <f>IFERROR(__xludf.DUMMYFUNCTION("SUBSTITUTE(SUBSTITUTE(SUBSTITUTE(SUBSTITUTE(REGEXREPLACE(SUBSTITUTE(SUBSTITUTE(SUBSTITUTE(SUBSTITUTE(REGEXREPLACE(I377, ""(\[([ROYGBPTQUXZC_]|1?[0-9])\])"", ""[img=45]res://textures/icons/$2.png[/img]""),""--"",""—""),""-&gt;"",""•""),""~@"", CONCATENATE(""["&amp;"i]"",REGEXEXTRACT(B377,""^([\s\S]*),|$""),""[/i]"")),""~"", CONCATENATE(""[i]"",B377,""[/i]"")),""(\([\s\S]*?\))"",""[i][color=#34343A]$0[/color][/i]""), ""&lt;"", ""[""), ""&gt;"", ""]""), ""[/p][p]"", ""[font_size=15]\n\n[/font_size]""), ""[br/]"", ""\n"")"),"[center][u]Brainwash[/u] [i][color=#34343A](Damage dealt by [i]Recycle[/i] is gained as loyalty.)[/color][/i][/center][p]Choose a player; they discard a card of your choice.[ul]If that card is a combatant, draw a card and your commander loses 1 loyalty.\n"&amp;"If that card is an effect, deal 3 damage to their commander.[/ul][/p]")</f>
        <v xml:space="preserve">[center][u]Brainwash[/u] [i][color=#34343A](Damage dealt by [i]Recycle[/i] is gained as loyalty.)[/color][/i][/center][p]Choose a player; they discard a card of your choice.[ul]If that card is a combatant, draw a card and your commander loses 1 loyalty.\nIf that card is an effect, deal 3 damage to their commander.[/ul][/p]</v>
      </c>
      <c r="W377" s="4" t="str">
        <f t="shared" si="21"/>
        <v>[i]Effect[/i]</v>
      </c>
      <c r="X377" s="4" t="str">
        <f t="shared" ref="X377:X407" si="24">IF(EQ(A377,B377), "0", CONCATENATE("RT_", A377))</f>
        <v>RT_RR_009</v>
      </c>
    </row>
    <row r="378">
      <c r="A378" s="1" t="s">
        <v>1445</v>
      </c>
      <c r="B378" s="1" t="s">
        <v>1446</v>
      </c>
      <c r="C378" s="2" t="s">
        <v>182</v>
      </c>
      <c r="D378" s="6" t="str">
        <f>IFERROR(__xludf.DUMMYFUNCTION("IF(EQ(A378,B378),"""",SWITCH(IF(T378="""",0,COUNTA(SPLIT(T378,"" ""))),0,""Generic"",1,TRIM(T378),2,""Multicolor"",3,""Multicolor"",4,""Multicolor"",5,""Multicolor"",6,""Multicolor"",7,""Multicolor"",8,""Multicolor""))"),"Red")</f>
        <v>Red</v>
      </c>
      <c r="E378" s="4"/>
      <c r="F378" s="4" t="s">
        <v>26</v>
      </c>
      <c r="G378" s="1" t="s">
        <v>411</v>
      </c>
      <c r="H378" s="2" t="s">
        <v>96</v>
      </c>
      <c r="I378" s="7" t="s">
        <v>1447</v>
      </c>
      <c r="J378" s="3"/>
      <c r="O378" s="3"/>
      <c r="Q378" s="1">
        <v>60</v>
      </c>
      <c r="R378" s="1">
        <v>50</v>
      </c>
      <c r="S378" s="4" t="str">
        <f t="shared" si="20"/>
        <v>False</v>
      </c>
      <c r="T378" s="4" t="str">
        <f>IFERROR(__xludf.DUMMYFUNCTION("CONCATENATE(if(REGEXMATCH(C378,""R""),"" Red"",""""),if(REGEXMATCH(C378,""O""),"" Orange"",""""),if(REGEXMATCH(C378,""Y""),"" Yellow"",""""),if(REGEXMATCH(C378,""G""),"" Green"",""""),if(REGEXMATCH(C378,""B""),"" Blue"",""""),if(REGEXMATCH(C378,""P""),"" "&amp;"Purple"",""""))")," Red")</f>
        <v>Red</v>
      </c>
      <c r="U378" s="4" t="str">
        <f>IFERROR(__xludf.DUMMYFUNCTION("TRIM(CONCAT(""[right]"", REGEXREPLACE(C378, ""([ROYGBPXZC_]|1?[0-9])"", ""[img=119]res://textures/icons/$0.png[/img]\\n"")))"),"[right][img=119]res://textures/icons/R.png[/img]\n")</f>
        <v>[right][img=119]res://textures/icons/R.png[/img]\n</v>
      </c>
      <c r="V378" s="4" t="str">
        <f>IFERROR(__xludf.DUMMYFUNCTION("SUBSTITUTE(SUBSTITUTE(SUBSTITUTE(SUBSTITUTE(REGEXREPLACE(SUBSTITUTE(SUBSTITUTE(SUBSTITUTE(SUBSTITUTE(REGEXREPLACE(I378, ""(\[([ROYGBPTQUXZC_]|1?[0-9])\])"", ""[img=45]res://textures/icons/$2.png[/img]""),""--"",""—""),""-&gt;"",""•""),""~@"", CONCATENATE(""["&amp;"i]"",REGEXEXTRACT(B378,""^([\s\S]*),|$""),""[/i]"")),""~"", CONCATENATE(""[i]"",B378,""[/i]"")),""(\([\s\S]*?\))"",""[i][color=#34343A]$0[/color][/i]""), ""&lt;"", ""[""), ""&gt;"", ""]""), ""[/p][p]"", ""[font_size=15]\n\n[/font_size]""), ""[br/]"", ""\n"")"),"[p]When [i]Chemical Grenade[/i] enters the battlefield, you may attach it to a combatant.[font_size=15]\n\n[/font_size][u]Throw[/u] [i][color=#34343A](Activate this ability only if attached to a combatant.)[/color][/i], [u]Forfeit[/u] [i][color=#34343A](P"&amp;"ut the specified card into its owner's discard.)[/color][/i] [i]Chemical Grenade[/i]: Choose a combatant; the chosen combatant and adjacent combatants permanently get -1/-1.[font_size=15]\n\n[/font_size][u]Forfeit[/u] [i]Chemical Grenade[/i]: Add [img=45]"&amp;"res://textures/icons/R.png[/img][img=45]res://textures/icons/R.png[/img][img=45]res://textures/icons/R.png[/img].[/p]")</f>
        <v xml:space="preserve">[p]When [i]Chemical Grenade[/i] enters the battlefield, you may attach it to a combatant.[font_size=15]\n\n[/font_size][u]Throw[/u] [i][color=#34343A](Activate this ability only if attached to a combatant.)[/color][/i], [u]Forfeit[/u] [i][color=#34343A](Put the specified card into its owner's discard.)[/color][/i] [i]Chemical Grenade[/i]: Choose a combatant; the chosen combatant and adjacent combatants permanently get -1/-1.[font_size=15]\n\n[/font_size][u]Forfeit[/u] [i]Chemical Grenade[/i]: Add [img=45]res://textures/icons/R.png[/img][img=45]res://textures/icons/R.png[/img][img=45]res://textures/icons/R.png[/img].[/p]</v>
      </c>
      <c r="W378" s="4" t="str">
        <f t="shared" si="21"/>
        <v>[i]Asset[/i]</v>
      </c>
      <c r="X378" s="4" t="str">
        <f t="shared" si="24"/>
        <v>RT_RR_010</v>
      </c>
    </row>
    <row r="379">
      <c r="A379" s="1" t="s">
        <v>1448</v>
      </c>
      <c r="B379" s="1" t="s">
        <v>1449</v>
      </c>
      <c r="C379" s="2" t="s">
        <v>86</v>
      </c>
      <c r="D379" s="6" t="str">
        <f>IFERROR(__xludf.DUMMYFUNCTION("IF(EQ(A379,B379),"""",SWITCH(IF(T379="""",0,COUNTA(SPLIT(T379,"" ""))),0,""Generic"",1,TRIM(T379),2,""Multicolor"",3,""Multicolor"",4,""Multicolor"",5,""Multicolor"",6,""Multicolor"",7,""Multicolor"",8,""Multicolor""))"),"Red")</f>
        <v>Red</v>
      </c>
      <c r="E379" s="1"/>
      <c r="F379" s="1" t="s">
        <v>33</v>
      </c>
      <c r="H379" s="2" t="s">
        <v>129</v>
      </c>
      <c r="I379" s="11" t="s">
        <v>1450</v>
      </c>
      <c r="J379" s="3"/>
      <c r="O379" s="3"/>
      <c r="Q379" s="1">
        <v>60</v>
      </c>
      <c r="R379" s="1">
        <v>50</v>
      </c>
      <c r="S379" s="4" t="str">
        <f t="shared" si="20"/>
        <v>False</v>
      </c>
      <c r="T379" s="4" t="str">
        <f>IFERROR(__xludf.DUMMYFUNCTION("CONCATENATE(if(REGEXMATCH(C379,""R""),"" Red"",""""),if(REGEXMATCH(C379,""O""),"" Orange"",""""),if(REGEXMATCH(C379,""Y""),"" Yellow"",""""),if(REGEXMATCH(C379,""G""),"" Green"",""""),if(REGEXMATCH(C379,""B""),"" Blue"",""""),if(REGEXMATCH(C379,""P""),"" "&amp;"Purple"",""""))")," Red")</f>
        <v>Red</v>
      </c>
      <c r="U379" s="4" t="str">
        <f>IFERROR(__xludf.DUMMYFUNCTION("TRIM(CONCAT(""[right]"", REGEXREPLACE(C379, ""([ROYGBPXZC_]|1?[0-9])"", ""[img=119]res://textures/icons/$0.png[/img]\\n"")))"),"[right][img=119]res://textures/icons/1.png[/img]\n[img=119]res://textures/icons/R.png[/img]\n[img=119]res://textures/icons/R.png[/img]\n")</f>
        <v>[right][img=119]res://textures/icons/1.png[/img]\n[img=119]res://textures/icons/R.png[/img]\n[img=119]res://textures/icons/R.png[/img]\n</v>
      </c>
      <c r="V379" s="4" t="str">
        <f>IFERROR(__xludf.DUMMYFUNCTION("SUBSTITUTE(SUBSTITUTE(SUBSTITUTE(SUBSTITUTE(REGEXREPLACE(SUBSTITUTE(SUBSTITUTE(SUBSTITUTE(SUBSTITUTE(REGEXREPLACE(I379, ""(\[([ROYGBPTQUXZC_]|1?[0-9])\])"", ""[img=45]res://textures/icons/$2.png[/img]""),""--"",""—""),""-&gt;"",""•""),""~@"", CONCATENATE(""["&amp;"i]"",REGEXEXTRACT(B379,""^([\s\S]*),|$""),""[/i]"")),""~"", CONCATENATE(""[i]"",B379,""[/i]"")),""(\([\s\S]*?\))"",""[i][color=#34343A]$0[/color][/i]""), ""&lt;"", ""[""), ""&gt;"", ""]""), ""[/p][p]"", ""[font_size=15]\n\n[/font_size]""), ""[br/]"", ""\n"")"),"[center][u]Exchange [img=45]res://textures/icons/1.png[/img][/u] [i][color=#34343A](Pay [img=45]res://textures/icons/1.png[/img], Discard [i]Economic Suicide[/i] from your hand: Draw a card.)[/color][/i][/center][p]Choose one [i][color=#34343A](round down"&amp;")[/color][/i]:[ul]Your commander loses half its loyalty.\nDiscard half of the cards in your hand.\n[u]Forfeit[/u] [i][color=#34343A](Put the specified card into its owner's discard.)[/color][/i] half of the assets you control.[/ul][/p]")</f>
        <v xml:space="preserve">[center][u]Exchange [img=45]res://textures/icons/1.png[/img][/u] [i][color=#34343A](Pay [img=45]res://textures/icons/1.png[/img], Discard [i]Economic Suicide[/i] from your hand: Draw a card.)[/color][/i][/center][p]Choose one [i][color=#34343A](round down)[/color][/i]:[ul]Your commander loses half its loyalty.\nDiscard half of the cards in your hand.\n[u]Forfeit[/u] [i][color=#34343A](Put the specified card into its owner's discard.)[/color][/i] half of the assets you control.[/ul][/p]</v>
      </c>
      <c r="W379" s="4" t="str">
        <f t="shared" si="21"/>
        <v>[i]Effect[/i]</v>
      </c>
      <c r="X379" s="4" t="str">
        <f t="shared" si="24"/>
        <v>RT_RU_017</v>
      </c>
    </row>
    <row r="380">
      <c r="A380" s="1" t="s">
        <v>1451</v>
      </c>
      <c r="B380" s="1" t="s">
        <v>1452</v>
      </c>
      <c r="C380" s="2" t="s">
        <v>123</v>
      </c>
      <c r="D380" s="6" t="s">
        <v>1274</v>
      </c>
      <c r="E380" s="1"/>
      <c r="F380" s="1" t="s">
        <v>738</v>
      </c>
      <c r="G380" s="4" t="s">
        <v>1299</v>
      </c>
      <c r="H380" s="2" t="s">
        <v>50</v>
      </c>
      <c r="I380" s="7" t="s">
        <v>1453</v>
      </c>
      <c r="J380" s="3"/>
      <c r="K380" s="1"/>
      <c r="L380" s="1"/>
      <c r="O380" s="3"/>
      <c r="Q380" s="1">
        <v>50</v>
      </c>
      <c r="R380" s="1">
        <v>50</v>
      </c>
      <c r="S380" s="4" t="str">
        <f t="shared" si="20"/>
        <v>False</v>
      </c>
      <c r="T380" s="4" t="str">
        <f>IFERROR(__xludf.DUMMYFUNCTION("CONCATENATE(if(REGEXMATCH(C380,""R""),"" Red"",""""),if(REGEXMATCH(C380,""O""),"" Orange"",""""),if(REGEXMATCH(C380,""Y""),"" Yellow"",""""),if(REGEXMATCH(C380,""G""),"" Green"",""""),if(REGEXMATCH(C380,""B""),"" Blue"",""""),if(REGEXMATCH(C380,""P""),"" "&amp;"Purple"",""""))")," Red")</f>
        <v>Red</v>
      </c>
      <c r="U380" s="4" t="str">
        <f>IFERROR(__xludf.DUMMYFUNCTION("TRIM(CONCAT(""[right]"", REGEXREPLACE(C380, ""([ROYGBPXZC_]|1?[0-9])"", ""[img=119]res://textures/icons/$0.png[/img]\\n"")))"),"[right][img=119]res://textures/icons/1.png[/img]\n[img=119]res://textures/icons/R.png[/img]\n")</f>
        <v>[right][img=119]res://textures/icons/1.png[/img]\n[img=119]res://textures/icons/R.png[/img]\n</v>
      </c>
      <c r="V380" s="4" t="str">
        <f>IFERROR(__xludf.DUMMYFUNCTION("SUBSTITUTE(SUBSTITUTE(SUBSTITUTE(SUBSTITUTE(REGEXREPLACE(SUBSTITUTE(SUBSTITUTE(SUBSTITUTE(SUBSTITUTE(REGEXREPLACE(I380, ""(\[([ROYGBPTQUXZC_]|1?[0-9])\])"", ""[img=45]res://textures/icons/$2.png[/img]""),""--"",""—""),""-&gt;"",""•""),""~@"", CONCATENATE(""["&amp;"i]"",REGEXEXTRACT(B380,""^([\s\S]*),|$""),""[/i]"")),""~"", CONCATENATE(""[i]"",B380,""[/i]"")),""(\([\s\S]*?\))"",""[i][color=#34343A]$0[/color][/i]""), ""&lt;"", ""[""), ""&gt;"", ""]""), ""[/p][p]"", ""[font_size=15]\n\n[/font_size]""), ""[br/]"", ""\n"")"),"[center][i][color=#34343A](You may play [i]Sputtering Generator[/i] whenever you have the option to hire a generator, instead of hiring any other card as a generator, or you may deploy it as an asset.)[/color][/i][/center][p][img=45]res://textures/icons/T"&amp;".png[/img]: Add X [i][color=#34343A](X is 3 minus the number of turns [i]Sputtering Generator[/i] has been on the battlefield [3 - *])[/color][/i] [img=45]res://textures/icons/R.png[/img].[/p]")</f>
        <v xml:space="preserve">[center][i][color=#34343A](You may play [i]Sputtering Generator[/i] whenever you have the option to hire a generator, instead of hiring any other card as a generator, or you may deploy it as an asset.)[/color][/i][/center][p][img=45]res://textures/icons/T.png[/img]: Add X [i][color=#34343A](X is 3 minus the number of turns [i]Sputtering Generator[/i] has been on the battlefield [3 - *])[/color][/i] [img=45]res://textures/icons/R.png[/img].[/p]</v>
      </c>
      <c r="W380" s="4" t="str">
        <f t="shared" si="21"/>
        <v xml:space="preserve">[i]Gen. Asset[/i]</v>
      </c>
      <c r="X380" s="4" t="str">
        <f t="shared" si="24"/>
        <v>RT_RC_025</v>
      </c>
    </row>
    <row r="381">
      <c r="A381" s="1" t="s">
        <v>1454</v>
      </c>
      <c r="B381" s="1" t="s">
        <v>1455</v>
      </c>
      <c r="C381" s="2" t="s">
        <v>507</v>
      </c>
      <c r="D381" s="6" t="str">
        <f>IFERROR(__xludf.DUMMYFUNCTION("IF(EQ(A381,B381),"""",SWITCH(IF(T381="""",0,COUNTA(SPLIT(T381,"" ""))),0,""Generic"",1,TRIM(T381),2,""Multicolor"",3,""Multicolor"",4,""Multicolor"",5,""Multicolor"",6,""Multicolor"",7,""Multicolor"",8,""Multicolor""))"),"Yellow")</f>
        <v>Yellow</v>
      </c>
      <c r="E381" s="1" t="s">
        <v>51</v>
      </c>
      <c r="F381" s="1" t="s">
        <v>26</v>
      </c>
      <c r="G381" s="1" t="s">
        <v>1456</v>
      </c>
      <c r="H381" s="2" t="s">
        <v>44</v>
      </c>
      <c r="I381" s="3" t="s">
        <v>1457</v>
      </c>
      <c r="J381" s="3" t="s">
        <v>1458</v>
      </c>
      <c r="K381" s="1">
        <v>3</v>
      </c>
      <c r="L381" s="1">
        <v>2</v>
      </c>
      <c r="O381" s="3"/>
      <c r="Q381" s="1">
        <v>60</v>
      </c>
      <c r="R381" s="1">
        <v>35</v>
      </c>
      <c r="S381" s="4" t="str">
        <f t="shared" si="20"/>
        <v>True</v>
      </c>
      <c r="T381" s="4" t="str">
        <f>IFERROR(__xludf.DUMMYFUNCTION("CONCATENATE(if(REGEXMATCH(C381,""R""),"" Red"",""""),if(REGEXMATCH(C381,""O""),"" Orange"",""""),if(REGEXMATCH(C381,""Y""),"" Yellow"",""""),if(REGEXMATCH(C381,""G""),"" Green"",""""),if(REGEXMATCH(C381,""B""),"" Blue"",""""),if(REGEXMATCH(C381,""P""),"" "&amp;"Purple"",""""))")," Yellow")</f>
        <v>Yellow</v>
      </c>
      <c r="U381" s="4" t="str">
        <f>IFERROR(__xludf.DUMMYFUNCTION("TRIM(CONCAT(""[right]"", REGEXREPLACE(C381, ""([ROYGBPXZC_]|1?[0-9])"", ""[img=119]res://textures/icons/$0.png[/img]\\n"")))"),"[right][img=119]res://textures/icons/Y.png[/img]\n")</f>
        <v>[right][img=119]res://textures/icons/Y.png[/img]\n</v>
      </c>
      <c r="V381" s="4" t="str">
        <f>IFERROR(__xludf.DUMMYFUNCTION("SUBSTITUTE(SUBSTITUTE(SUBSTITUTE(SUBSTITUTE(REGEXREPLACE(SUBSTITUTE(SUBSTITUTE(SUBSTITUTE(SUBSTITUTE(REGEXREPLACE(I381, ""(\[([ROYGBPTQUXZC_]|1?[0-9])\])"", ""[img=45]res://textures/icons/$2.png[/img]""),""--"",""—""),""-&gt;"",""•""),""~@"", CONCATENATE(""["&amp;"i]"",REGEXEXTRACT(B381,""^([\s\S]*),|$""),""[/i]"")),""~"", CONCATENATE(""[i]"",B381,""[/i]"")),""(\([\s\S]*?\))"",""[i][color=#34343A]$0[/color][/i]""), ""&lt;"", ""[""), ""&gt;"", ""]""), ""[/p][p]"", ""[font_size=15]\n\n[/font_size]""), ""[br/]"", ""\n"")"),"[center][u]Brutal[/u] [i][color=#34343A]([i]Battle Angel[/i] deals combat damage before assets without brutal.)[/color][/i], [u]Rush[/u] [i][color=#34343A]([i]Battle Angel[/i] can attack and intercept as soon as it resolves, but it can't be explicitly exh"&amp;"austed that turn.)[/color][/i][/center]")</f>
        <v xml:space="preserve">[center][u]Brutal[/u] [i][color=#34343A]([i]Battle Angel[/i] deals combat damage before assets without brutal.)[/color][/i], [u]Rush[/u] [i][color=#34343A]([i]Battle Angel[/i] can attack and intercept as soon as it resolves, but it can't be explicitly exhausted that turn.)[/color][/i][/center]</v>
      </c>
      <c r="W381" s="4" t="str">
        <f t="shared" si="21"/>
        <v>[i]Asset[/i]</v>
      </c>
      <c r="X381" s="4" t="str">
        <f t="shared" si="24"/>
        <v>RT_YC_025</v>
      </c>
    </row>
    <row r="382">
      <c r="A382" s="1" t="s">
        <v>1459</v>
      </c>
      <c r="B382" s="1" t="s">
        <v>1460</v>
      </c>
      <c r="C382" s="2" t="s">
        <v>483</v>
      </c>
      <c r="D382" s="6" t="str">
        <f>IFERROR(__xludf.DUMMYFUNCTION("IF(EQ(A382,B382),"""",SWITCH(IF(T382="""",0,COUNTA(SPLIT(T382,"" ""))),0,""Generic"",1,TRIM(T382),2,""Multicolor"",3,""Multicolor"",4,""Multicolor"",5,""Multicolor"",6,""Multicolor"",7,""Multicolor"",8,""Multicolor""))"),"Yellow")</f>
        <v>Yellow</v>
      </c>
      <c r="E382" s="1"/>
      <c r="F382" s="1" t="s">
        <v>33</v>
      </c>
      <c r="G382" s="1" t="s">
        <v>1396</v>
      </c>
      <c r="H382" s="2" t="s">
        <v>129</v>
      </c>
      <c r="I382" s="3" t="s">
        <v>1461</v>
      </c>
      <c r="J382" s="11" t="s">
        <v>1462</v>
      </c>
      <c r="O382" s="3"/>
      <c r="Q382" s="1">
        <v>60</v>
      </c>
      <c r="R382" s="1">
        <v>50</v>
      </c>
      <c r="S382" s="4" t="str">
        <f t="shared" si="20"/>
        <v>False</v>
      </c>
      <c r="T382" s="4" t="str">
        <f>IFERROR(__xludf.DUMMYFUNCTION("CONCATENATE(if(REGEXMATCH(C382,""R""),"" Red"",""""),if(REGEXMATCH(C382,""O""),"" Orange"",""""),if(REGEXMATCH(C382,""Y""),"" Yellow"",""""),if(REGEXMATCH(C382,""G""),"" Green"",""""),if(REGEXMATCH(C382,""B""),"" Blue"",""""),if(REGEXMATCH(C382,""P""),"" "&amp;"Purple"",""""))")," Yellow")</f>
        <v>Yellow</v>
      </c>
      <c r="U382" s="4" t="str">
        <f>IFERROR(__xludf.DUMMYFUNCTION("TRIM(CONCAT(""[right]"", REGEXREPLACE(C382, ""([ROYGBPXZC_]|1?[0-9])"", ""[img=119]res://textures/icons/$0.png[/img]\\n"")))"),"[right][img=119]res://textures/icons/1.png[/img]\n[img=119]res://textures/icons/Y.png[/img]\n")</f>
        <v>[right][img=119]res://textures/icons/1.png[/img]\n[img=119]res://textures/icons/Y.png[/img]\n</v>
      </c>
      <c r="V382" s="4" t="str">
        <f>IFERROR(__xludf.DUMMYFUNCTION("SUBSTITUTE(SUBSTITUTE(SUBSTITUTE(SUBSTITUTE(REGEXREPLACE(SUBSTITUTE(SUBSTITUTE(SUBSTITUTE(SUBSTITUTE(REGEXREPLACE(I382, ""(\[([ROYGBPTQUXZC_]|1?[0-9])\])"", ""[img=45]res://textures/icons/$2.png[/img]""),""--"",""—""),""-&gt;"",""•""),""~@"", CONCATENATE(""["&amp;"i]"",REGEXEXTRACT(B382,""^([\s\S]*),|$""),""[/i]"")),""~"", CONCATENATE(""[i]"",B382,""[/i]"")),""(\([\s\S]*?\))"",""[i][color=#34343A]$0[/color][/i]""), ""&lt;"", ""[""), ""&gt;"", ""]""), ""[/p][p]"", ""[font_size=15]\n\n[/font_size]""), ""[br/]"", ""\n"")"),"[p][i]Burn the Ring[/i] costs [img=45]res://textures/icons/1.png[/img] less to deploy if you didn't go first.[font_size=15]\n\n[/font_size]Choose up to 2 assets and/or players; [i]Burn the Ring[/i] deals 5 damage split between them.[/p]")</f>
        <v xml:space="preserve">[p][i]Burn the Ring[/i] costs [img=45]res://textures/icons/1.png[/img] less to deploy if you didn't go first.[font_size=15]\n\n[/font_size]Choose up to 2 assets and/or players; [i]Burn the Ring[/i] deals 5 damage split between them.[/p]</v>
      </c>
      <c r="W382" s="4" t="str">
        <f t="shared" si="21"/>
        <v>[i]Effect[/i]</v>
      </c>
      <c r="X382" s="4" t="str">
        <f t="shared" si="24"/>
        <v>RT_YU_017</v>
      </c>
    </row>
    <row r="383">
      <c r="A383" s="1" t="s">
        <v>1463</v>
      </c>
      <c r="B383" s="4" t="s">
        <v>1464</v>
      </c>
      <c r="C383" s="5" t="s">
        <v>512</v>
      </c>
      <c r="D383" s="6" t="str">
        <f>IFERROR(__xludf.DUMMYFUNCTION("IF(EQ(A383,B383),"""",SWITCH(IF(T383="""",0,COUNTA(SPLIT(T383,"" ""))),0,""Generic"",1,TRIM(T383),2,""Multicolor"",3,""Multicolor"",4,""Multicolor"",5,""Multicolor"",6,""Multicolor"",7,""Multicolor"",8,""Multicolor""))"),"Yellow")</f>
        <v>Yellow</v>
      </c>
      <c r="E383" s="4"/>
      <c r="F383" s="4" t="s">
        <v>33</v>
      </c>
      <c r="G383" s="4" t="s">
        <v>118</v>
      </c>
      <c r="H383" s="5" t="s">
        <v>129</v>
      </c>
      <c r="I383" s="3" t="s">
        <v>1465</v>
      </c>
      <c r="J383" s="3"/>
      <c r="O383" s="3"/>
      <c r="Q383" s="1">
        <v>60</v>
      </c>
      <c r="R383" s="1">
        <v>50</v>
      </c>
      <c r="S383" s="4" t="str">
        <f t="shared" si="20"/>
        <v>False</v>
      </c>
      <c r="T383" s="4" t="str">
        <f>IFERROR(__xludf.DUMMYFUNCTION("CONCATENATE(if(REGEXMATCH(C383,""R""),"" Red"",""""),if(REGEXMATCH(C383,""O""),"" Orange"",""""),if(REGEXMATCH(C383,""Y""),"" Yellow"",""""),if(REGEXMATCH(C383,""G""),"" Green"",""""),if(REGEXMATCH(C383,""B""),"" Blue"",""""),if(REGEXMATCH(C383,""P""),"" "&amp;"Purple"",""""))")," Yellow")</f>
        <v>Yellow</v>
      </c>
      <c r="U383" s="4" t="str">
        <f>IFERROR(__xludf.DUMMYFUNCTION("TRIM(CONCAT(""[right]"", REGEXREPLACE(C383, ""([ROYGBPXZC_]|1?[0-9])"", ""[img=119]res://textures/icons/$0.png[/img]\\n"")))"),"[right][img=119]res://textures/icons/2.png[/img]\n[img=119]res://textures/icons/Y.png[/img]\n[img=119]res://textures/icons/Y.png[/img]\n")</f>
        <v>[right][img=119]res://textures/icons/2.png[/img]\n[img=119]res://textures/icons/Y.png[/img]\n[img=119]res://textures/icons/Y.png[/img]\n</v>
      </c>
      <c r="V383" s="4" t="str">
        <f>IFERROR(__xludf.DUMMYFUNCTION("SUBSTITUTE(SUBSTITUTE(SUBSTITUTE(SUBSTITUTE(REGEXREPLACE(SUBSTITUTE(SUBSTITUTE(SUBSTITUTE(SUBSTITUTE(REGEXREPLACE(I383, ""(\[([ROYGBPTQUXZC_]|1?[0-9])\])"", ""[img=45]res://textures/icons/$2.png[/img]""),""--"",""—""),""-&gt;"",""•""),""~@"", CONCATENATE(""["&amp;"i]"",REGEXEXTRACT(B383,""^([\s\S]*),|$""),""[/i]"")),""~"", CONCATENATE(""[i]"",B383,""[/i]"")),""(\([\s\S]*?\))"",""[i][color=#34343A]$0[/color][/i]""), ""&lt;"", ""[""), ""&gt;"", ""]""), ""[/p][p]"", ""[font_size=15]\n\n[/font_size]""), ""[br/]"", ""\n"")"),"Choose an opponent and a combatant subtype; That opponent reveals their hand, then their commander takes 4 damage for each card of the chosen type in their hand.")</f>
        <v xml:space="preserve">Choose an opponent and a combatant subtype; That opponent reveals their hand, then their commander takes 4 damage for each card of the chosen type in their hand.</v>
      </c>
      <c r="W383" s="4" t="str">
        <f t="shared" si="21"/>
        <v>[i]Effect[/i]</v>
      </c>
      <c r="X383" s="4" t="str">
        <f t="shared" si="24"/>
        <v>RT_YR_010</v>
      </c>
    </row>
    <row r="384">
      <c r="A384" s="1" t="s">
        <v>1466</v>
      </c>
      <c r="B384" s="1" t="s">
        <v>1467</v>
      </c>
      <c r="C384" s="5" t="s">
        <v>507</v>
      </c>
      <c r="D384" s="6" t="str">
        <f>IFERROR(__xludf.DUMMYFUNCTION("IF(EQ(A384,B384),"""",SWITCH(IF(T384="""",0,COUNTA(SPLIT(T384,"" ""))),0,""Generic"",1,TRIM(T384),2,""Multicolor"",3,""Multicolor"",4,""Multicolor"",5,""Multicolor"",6,""Multicolor"",7,""Multicolor"",8,""Multicolor""))"),"Yellow")</f>
        <v>Yellow</v>
      </c>
      <c r="E384" s="4"/>
      <c r="F384" s="4" t="s">
        <v>26</v>
      </c>
      <c r="G384" s="1" t="s">
        <v>411</v>
      </c>
      <c r="H384" s="2" t="s">
        <v>96</v>
      </c>
      <c r="I384" s="7" t="s">
        <v>1468</v>
      </c>
      <c r="J384" s="3"/>
      <c r="O384" s="3"/>
      <c r="Q384" s="1">
        <v>60</v>
      </c>
      <c r="R384" s="1">
        <v>50</v>
      </c>
      <c r="S384" s="4" t="str">
        <f t="shared" si="20"/>
        <v>False</v>
      </c>
      <c r="T384" s="4" t="str">
        <f>IFERROR(__xludf.DUMMYFUNCTION("CONCATENATE(if(REGEXMATCH(C384,""R""),"" Red"",""""),if(REGEXMATCH(C384,""O""),"" Orange"",""""),if(REGEXMATCH(C384,""Y""),"" Yellow"",""""),if(REGEXMATCH(C384,""G""),"" Green"",""""),if(REGEXMATCH(C384,""B""),"" Blue"",""""),if(REGEXMATCH(C384,""P""),"" "&amp;"Purple"",""""))")," Yellow")</f>
        <v>Yellow</v>
      </c>
      <c r="U384" s="4" t="str">
        <f>IFERROR(__xludf.DUMMYFUNCTION("TRIM(CONCAT(""[right]"", REGEXREPLACE(C384, ""([ROYGBPXZC_]|1?[0-9])"", ""[img=119]res://textures/icons/$0.png[/img]\\n"")))"),"[right][img=119]res://textures/icons/Y.png[/img]\n")</f>
        <v>[right][img=119]res://textures/icons/Y.png[/img]\n</v>
      </c>
      <c r="V384" s="4" t="str">
        <f>IFERROR(__xludf.DUMMYFUNCTION("SUBSTITUTE(SUBSTITUTE(SUBSTITUTE(SUBSTITUTE(REGEXREPLACE(SUBSTITUTE(SUBSTITUTE(SUBSTITUTE(SUBSTITUTE(REGEXREPLACE(I384, ""(\[([ROYGBPTQUXZC_]|1?[0-9])\])"", ""[img=45]res://textures/icons/$2.png[/img]""),""--"",""—""),""-&gt;"",""•""),""~@"", CONCATENATE(""["&amp;"i]"",REGEXEXTRACT(B384,""^([\s\S]*),|$""),""[/i]"")),""~"", CONCATENATE(""[i]"",B384,""[/i]"")),""(\([\s\S]*?\))"",""[i][color=#34343A]$0[/color][/i]""), ""&lt;"", ""[""), ""&gt;"", ""]""), ""[/p][p]"", ""[font_size=15]\n\n[/font_size]""), ""[br/]"", ""\n"")"),"[p]When [i]Plasma Grenade[/i] enters the battlefield, you may attach it to a combatant.[font_size=15]\n\n[/font_size][u]Throw[/u] [i][color=#34343A](Activate this ability only if attached to a combatant.)[/color][/i], [u]Forfeit[/u] [i][color=#34343A](Put"&amp;" the specified card into its owner's discard.)[/color][/i] [i]Plasma Grenade[/i]: Choose a combatant; until end of turn, it loses half its health.[font_size=15]\n\n[/font_size][u]Forfeit[/u] [i]Plasma Grenade[/i]: Add [img=45]res://textures/icons/Y.png[/i"&amp;"mg][img=45]res://textures/icons/Y.png[/img][img=45]res://textures/icons/Y.png[/img].[/p]")</f>
        <v xml:space="preserve">[p]When [i]Plasma Grenade[/i] enters the battlefield, you may attach it to a combatant.[font_size=15]\n\n[/font_size][u]Throw[/u] [i][color=#34343A](Activate this ability only if attached to a combatant.)[/color][/i], [u]Forfeit[/u] [i][color=#34343A](Put the specified card into its owner's discard.)[/color][/i] [i]Plasma Grenade[/i]: Choose a combatant; until end of turn, it loses half its health.[font_size=15]\n\n[/font_size][u]Forfeit[/u] [i]Plasma Grenade[/i]: Add [img=45]res://textures/icons/Y.png[/img][img=45]res://textures/icons/Y.png[/img][img=45]res://textures/icons/Y.png[/img].[/p]</v>
      </c>
      <c r="W384" s="4" t="str">
        <f t="shared" si="21"/>
        <v>[i]Asset[/i]</v>
      </c>
      <c r="X384" s="4" t="str">
        <f t="shared" si="24"/>
        <v>RT_YR_011</v>
      </c>
    </row>
    <row r="385">
      <c r="A385" s="1" t="s">
        <v>1469</v>
      </c>
      <c r="B385" s="4" t="s">
        <v>1470</v>
      </c>
      <c r="C385" s="5" t="s">
        <v>56</v>
      </c>
      <c r="D385" s="6" t="str">
        <f>IFERROR(__xludf.DUMMYFUNCTION("IF(ISBLANK(A385),"""",SWITCH(IF(T385="""",0,COUNTA(SPLIT(T385,"" ""))),0,""Generic"",1,TRIM(T385),2,""Multicolor"",3,""Multicolor"",4,""Multicolor"",5,""Multicolor"",6,""Multicolor"",7,""Multicolor"",8,""Multicolor""))"),"Blue")</f>
        <v>Blue</v>
      </c>
      <c r="E385" s="4"/>
      <c r="F385" s="4" t="s">
        <v>33</v>
      </c>
      <c r="G385" s="4" t="s">
        <v>1471</v>
      </c>
      <c r="H385" s="5" t="s">
        <v>44</v>
      </c>
      <c r="I385" s="11" t="s">
        <v>1472</v>
      </c>
      <c r="J385" s="3"/>
      <c r="K385" s="1"/>
      <c r="L385" s="1"/>
      <c r="O385" s="3"/>
      <c r="Q385" s="1">
        <v>50</v>
      </c>
      <c r="R385" s="1">
        <v>50</v>
      </c>
      <c r="S385" s="4" t="str">
        <f t="shared" si="20"/>
        <v>False</v>
      </c>
      <c r="T385" s="4" t="str">
        <f>IFERROR(__xludf.DUMMYFUNCTION("CONCATENATE(if(REGEXMATCH(C385,""R""),"" Red"",""""),if(REGEXMATCH(C385,""O""),"" Orange"",""""),if(REGEXMATCH(C385,""Y""),"" Yellow"",""""),if(REGEXMATCH(C385,""G""),"" Green"",""""),if(REGEXMATCH(C385,""B""),"" Blue"",""""),if(REGEXMATCH(C385,""P""),"" "&amp;"Purple"",""""))")," Blue")</f>
        <v>Blue</v>
      </c>
      <c r="U385" s="4" t="str">
        <f>IFERROR(__xludf.DUMMYFUNCTION("TRIM(CONCAT(""[right]"", REGEXREPLACE(C385, ""([ROYGBPXZC_]|1?[0-9])"", ""[img=119]res://textures/icons/$0.png[/img]\\n"")))"),"[right][img=119]res://textures/icons/B.png[/img]\n[img=119]res://textures/icons/B.png[/img]\n")</f>
        <v>[right][img=119]res://textures/icons/B.png[/img]\n[img=119]res://textures/icons/B.png[/img]\n</v>
      </c>
      <c r="V385" s="4" t="str">
        <f>IFERROR(__xludf.DUMMYFUNCTION("SUBSTITUTE(SUBSTITUTE(SUBSTITUTE(SUBSTITUTE(REGEXREPLACE(SUBSTITUTE(SUBSTITUTE(SUBSTITUTE(SUBSTITUTE(REGEXREPLACE(I385, ""(\[([ROYGBPTQUXZC_]|1?[0-9])\])"", ""[img=45]res://textures/icons/$2.png[/img]""),""--"",""—""),""-&gt;"",""•""),""~@"", CONCATENATE(""["&amp;"i]"",REGEXEXTRACT(B385,""^([\s\S]*),|$""),""[/i]"")),""~"", CONCATENATE(""[i]"",B385,""[/i]"")),""(\([\s\S]*?\))"",""[i][color=#34343A]$0[/color][/i]""), ""&lt;"", ""[""), ""&gt;"", ""]""), ""[/p][p]"", ""[font_size=15]\n\n[/font_size]""), ""[br/]"", ""\n"")"),"[center][u]Tax[/u] [i][color=#34343A](When [i]Internet Service Fees[/i] resolves, if it is not a copy, copy it for each other card and effect on the stack.)[/color][/i][/center][p]Choose an opponent; draw a card unless they pay [img=45]res://textures/icon"&amp;"s/2.png[/img].[/p]")</f>
        <v xml:space="preserve">[center][u]Tax[/u] [i][color=#34343A](When [i]Internet Service Fees[/i] resolves, if it is not a copy, copy it for each other card and effect on the stack.)[/color][/i][/center][p]Choose an opponent; draw a card unless they pay [img=45]res://textures/icons/2.png[/img].[/p]</v>
      </c>
      <c r="W385" s="4" t="str">
        <f t="shared" si="21"/>
        <v>[i]Effect[/i]</v>
      </c>
      <c r="X385" s="4" t="str">
        <f t="shared" si="24"/>
        <v>RT_BC_025</v>
      </c>
    </row>
    <row r="386">
      <c r="A386" s="1" t="s">
        <v>1473</v>
      </c>
      <c r="B386" s="1" t="s">
        <v>1474</v>
      </c>
      <c r="C386" s="2" t="s">
        <v>1475</v>
      </c>
      <c r="D386" s="6" t="str">
        <f>IFERROR(__xludf.DUMMYFUNCTION("IF(ISBLANK(A386),"""",SWITCH(IF(T386="""",0,COUNTA(SPLIT(T386,"" ""))),0,""Generic"",1,TRIM(T386),2,""Multicolor"",3,""Multicolor"",4,""Multicolor"",5,""Multicolor"",6,""Multicolor"",7,""Multicolor"",8,""Multicolor""))"),"Blue")</f>
        <v>Blue</v>
      </c>
      <c r="E386" s="1"/>
      <c r="F386" s="1" t="s">
        <v>87</v>
      </c>
      <c r="G386" s="1" t="s">
        <v>320</v>
      </c>
      <c r="H386" s="2" t="s">
        <v>96</v>
      </c>
      <c r="I386" s="7" t="s">
        <v>1476</v>
      </c>
      <c r="J386" s="3"/>
      <c r="O386" s="3"/>
      <c r="Q386" s="1">
        <v>60</v>
      </c>
      <c r="R386" s="1">
        <v>50</v>
      </c>
      <c r="S386" s="4" t="str">
        <f t="shared" ref="S386:S407" si="25">IF(ISBLANK(A386),"",IF(EQ(LEN(TRIM(K386)),0),"False","True"))</f>
        <v>False</v>
      </c>
      <c r="T386" s="4" t="str">
        <f>IFERROR(__xludf.DUMMYFUNCTION("CONCATENATE(if(REGEXMATCH(C386,""R""),"" Red"",""""),if(REGEXMATCH(C386,""O""),"" Orange"",""""),if(REGEXMATCH(C386,""Y""),"" Yellow"",""""),if(REGEXMATCH(C386,""G""),"" Green"",""""),if(REGEXMATCH(C386,""B""),"" Blue"",""""),if(REGEXMATCH(C386,""P""),"" "&amp;"Purple"",""""))")," Blue")</f>
        <v>Blue</v>
      </c>
      <c r="U386" s="4" t="str">
        <f>IFERROR(__xludf.DUMMYFUNCTION("TRIM(CONCAT(""[right]"", REGEXREPLACE(C386, ""([ROYGBPXZC_]|1?[0-9])"", ""[img=119]res://textures/icons/$0.png[/img]\\n"")))"),"[right][img=119]res://textures/icons/5.png[/img]\n[img=119]res://textures/icons/B.png[/img]\n[img=119]res://textures/icons/B.png[/img]\n[img=119]res://textures/icons/B.png[/img]\n[img=119]res://textures/icons/B.png[/img]\n[img=119]res://textures/icons/B.p"&amp;"ng[/img]\n")</f>
        <v>[right][img=119]res://textures/icons/5.png[/img]\n[img=119]res://textures/icons/B.png[/img]\n[img=119]res://textures/icons/B.png[/img]\n[img=119]res://textures/icons/B.png[/img]\n[img=119]res://textures/icons/B.png[/img]\n[img=119]res://textures/icons/B.png[/img]\n</v>
      </c>
      <c r="V386" s="4" t="str">
        <f>IFERROR(__xludf.DUMMYFUNCTION("SUBSTITUTE(SUBSTITUTE(SUBSTITUTE(SUBSTITUTE(REGEXREPLACE(SUBSTITUTE(SUBSTITUTE(SUBSTITUTE(SUBSTITUTE(REGEXREPLACE(I386, ""(\[([ROYGBPTQUXZC_]|1?[0-9])\])"", ""[img=45]res://textures/icons/$2.png[/img]""),""--"",""—""),""-&gt;"",""•""),""~@"", CONCATENATE(""["&amp;"i]"",REGEXEXTRACT(B386,""^([\s\S]*),|$""),""[/i]"")),""~"", CONCATENATE(""[i]"",B386,""[/i]"")),""(\([\s\S]*?\))"",""[i][color=#34343A]$0[/color][/i]""), ""&lt;"", ""[""), ""&gt;"", ""]""), ""[/p][p]"", ""[font_size=15]\n\n[/font_size]""), ""[br/]"", ""\n"")"),"[center][i][color=#34343A](This effect can only be deployed if you control a renowned asset. Banked energy can't be spent to deploy renowned cards.)[/color][/i][/center][p]Choose a player; you control them during their next turn.[/p]")</f>
        <v xml:space="preserve">[center][i][color=#34343A](This effect can only be deployed if you control a renowned asset. Banked energy can't be spent to deploy renowned cards.)[/color][/i][/center][p]Choose a player; you control them during their next turn.[/p]</v>
      </c>
      <c r="W386" s="4" t="str">
        <f t="shared" ref="W386:W407" si="26">CONCATENATE("[i]",F386,"[/i]")</f>
        <v xml:space="preserve">[i]R. Effect[/i]</v>
      </c>
      <c r="X386" s="4" t="str">
        <f t="shared" si="24"/>
        <v>RT_BR_009</v>
      </c>
    </row>
    <row r="387">
      <c r="A387" s="1" t="s">
        <v>1477</v>
      </c>
      <c r="B387" s="4" t="s">
        <v>1478</v>
      </c>
      <c r="C387" s="5" t="s">
        <v>61</v>
      </c>
      <c r="D387" s="6" t="str">
        <f>IFERROR(__xludf.DUMMYFUNCTION("IF(ISBLANK(A387),"""",SWITCH(IF(T387="""",0,COUNTA(SPLIT(T387,"" ""))),0,""Generic"",1,TRIM(T387),2,""Multicolor"",3,""Multicolor"",4,""Multicolor"",5,""Multicolor"",6,""Multicolor"",7,""Multicolor"",8,""Multicolor""))"),"Blue")</f>
        <v>Blue</v>
      </c>
      <c r="E387" s="1"/>
      <c r="F387" s="1" t="s">
        <v>26</v>
      </c>
      <c r="G387" s="1" t="s">
        <v>411</v>
      </c>
      <c r="H387" s="2" t="s">
        <v>96</v>
      </c>
      <c r="I387" s="3" t="s">
        <v>1479</v>
      </c>
      <c r="J387" s="3"/>
      <c r="K387" s="1"/>
      <c r="O387" s="3"/>
      <c r="Q387" s="8">
        <v>60</v>
      </c>
      <c r="R387" s="8">
        <v>50</v>
      </c>
      <c r="S387" s="4" t="str">
        <f t="shared" si="25"/>
        <v>False</v>
      </c>
      <c r="T387" s="4" t="str">
        <f>IFERROR(__xludf.DUMMYFUNCTION("CONCATENATE(if(REGEXMATCH(C387,""R""),"" Red"",""""),if(REGEXMATCH(C387,""O""),"" Orange"",""""),if(REGEXMATCH(C387,""Y""),"" Yellow"",""""),if(REGEXMATCH(C387,""G""),"" Green"",""""),if(REGEXMATCH(C387,""B""),"" Blue"",""""),if(REGEXMATCH(C387,""P""),"" "&amp;"Purple"",""""))")," Blue")</f>
        <v>Blue</v>
      </c>
      <c r="U387" s="4" t="str">
        <f>IFERROR(__xludf.DUMMYFUNCTION("TRIM(CONCAT(""[right]"", REGEXREPLACE(C387, ""([ROYGBPXZC_]|1?[0-9])"", ""[img=119]res://textures/icons/$0.png[/img]\\n"")))"),"[right][img=119]res://textures/icons/B.png[/img]\n")</f>
        <v>[right][img=119]res://textures/icons/B.png[/img]\n</v>
      </c>
      <c r="V387" s="4" t="str">
        <f>IFERROR(__xludf.DUMMYFUNCTION("SUBSTITUTE(SUBSTITUTE(SUBSTITUTE(SUBSTITUTE(REGEXREPLACE(SUBSTITUTE(SUBSTITUTE(SUBSTITUTE(SUBSTITUTE(REGEXREPLACE(I387, ""(\[([ROYGBPTQUXZC_]|1?[0-9])\])"", ""[img=45]res://textures/icons/$2.png[/img]""),""--"",""—""),""-&gt;"",""•""),""~@"", CONCATENATE(""["&amp;"i]"",REGEXEXTRACT(B387,""^([\s\S]*),|$""),""[/i]"")),""~"", CONCATENATE(""[i]"",B387,""[/i]"")),""(\([\s\S]*?\))"",""[i][color=#34343A]$0[/color][/i]""), ""&lt;"", ""[""), ""&gt;"", ""]""), ""[/p][p]"", ""[font_size=15]\n\n[/font_size]""), ""[br/]"", ""\n"")"),"[p]When [i]Flashbang[/i] enters the battlefield, you may attach it to a combatant.[font_size=15]\n\n[/font_size][u]Throw[/u] [i][color=#34343A](Activate this ability only if attached to a combatant.)[/color][/i], [u]Forfeit[/u] [i][color=#34343A](Put the "&amp;"specified card into its owner's discard.)[/color][/i] [i]Flashbang[/i]: Choose a combatant; the chosen combatant and adjacent combatants become exhausted, they aren't refreshed for 1 turn.[font_size=15]\n\n[/font_size][u]Forfeit[/u] [i]Flashbang[/i]: Add "&amp;"[img=45]res://textures/icons/B.png[/img][img=45]res://textures/icons/B.png[/img][img=45]res://textures/icons/B.png[/img].[/p]")</f>
        <v xml:space="preserve">[p]When [i]Flashbang[/i] enters the battlefield, you may attach it to a combatant.[font_size=15]\n\n[/font_size][u]Throw[/u] [i][color=#34343A](Activate this ability only if attached to a combatant.)[/color][/i], [u]Forfeit[/u] [i][color=#34343A](Put the specified card into its owner's discard.)[/color][/i] [i]Flashbang[/i]: Choose a combatant; the chosen combatant and adjacent combatants become exhausted, they aren't refreshed for 1 turn.[font_size=15]\n\n[/font_size][u]Forfeit[/u] [i]Flashbang[/i]: Add [img=45]res://textures/icons/B.png[/img][img=45]res://textures/icons/B.png[/img][img=45]res://textures/icons/B.png[/img].[/p]</v>
      </c>
      <c r="W387" s="4" t="str">
        <f t="shared" si="26"/>
        <v>[i]Asset[/i]</v>
      </c>
      <c r="X387" s="4" t="str">
        <f t="shared" si="24"/>
        <v>RT_BR_010</v>
      </c>
    </row>
    <row r="388">
      <c r="A388" s="1"/>
      <c r="B388" s="1"/>
      <c r="S388" s="4" t="str">
        <f t="shared" si="25"/>
        <v/>
      </c>
      <c r="T388" s="4" t="str">
        <f>IFERROR(__xludf.DUMMYFUNCTION("CONCATENATE(if(REGEXMATCH(C388,""R""),"" Red"",""""),if(REGEXMATCH(C388,""O""),"" Orange"",""""),if(REGEXMATCH(C388,""Y""),"" Yellow"",""""),if(REGEXMATCH(C388,""G""),"" Green"",""""),if(REGEXMATCH(C388,""B""),"" Blue"",""""),if(REGEXMATCH(C388,""P""),"" "&amp;"Purple"",""""))"),"")</f>
        <v/>
      </c>
      <c r="U388" s="4" t="str">
        <f>IFERROR(__xludf.DUMMYFUNCTION("TRIM(CONCAT(""[right]"", REGEXREPLACE(C388, ""([ROYGBPXZC_]|1?[0-9])"", ""[img=119]res://textures/icons/$0.png[/img]\\n"")))"),"[right]")</f>
        <v>[right]</v>
      </c>
      <c r="V388" s="4" t="str">
        <f>IFERROR(__xludf.DUMMYFUNCTION("SUBSTITUTE(SUBSTITUTE(SUBSTITUTE(SUBSTITUTE(REGEXREPLACE(SUBSTITUTE(SUBSTITUTE(SUBSTITUTE(SUBSTITUTE(REGEXREPLACE(I388, ""(\[([ROYGBPTQUXZC_]|1?[0-9])\])"", ""[img=45]res://textures/icons/$2.png[/img]""),""--"",""—""),""-&gt;"",""•""),""~@"", CONCATENATE(""["&amp;"i]"",REGEXEXTRACT(B388,""^([\s\S]*),|$""),""[/i]"")),""~"", CONCATENATE(""[i]"",B388,""[/i]"")),""(\([\s\S]*?\))"",""[i][color=#34343A]$0[/color][/i]""), ""&lt;"", ""[""), ""&gt;"", ""]""), ""[/p][p]"", ""[font_size=15]\n\n[/font_size]""), ""[br/]"", ""\n"")"),"")</f>
        <v/>
      </c>
      <c r="W388" s="4" t="str">
        <f t="shared" si="26"/>
        <v>[i][/i]</v>
      </c>
      <c r="X388" s="4" t="str">
        <f t="shared" si="24"/>
        <v>0</v>
      </c>
    </row>
    <row r="389">
      <c r="A389" s="1"/>
      <c r="B389" s="1"/>
      <c r="S389" s="4" t="str">
        <f t="shared" si="25"/>
        <v/>
      </c>
      <c r="T389" s="4" t="str">
        <f>IFERROR(__xludf.DUMMYFUNCTION("CONCATENATE(if(REGEXMATCH(C389,""R""),"" Red"",""""),if(REGEXMATCH(C389,""O""),"" Orange"",""""),if(REGEXMATCH(C389,""Y""),"" Yellow"",""""),if(REGEXMATCH(C389,""G""),"" Green"",""""),if(REGEXMATCH(C389,""B""),"" Blue"",""""),if(REGEXMATCH(C389,""P""),"" "&amp;"Purple"",""""))"),"")</f>
        <v/>
      </c>
      <c r="U389" s="4" t="str">
        <f>IFERROR(__xludf.DUMMYFUNCTION("TRIM(CONCAT(""[right]"", REGEXREPLACE(C389, ""([ROYGBPXZC_]|1?[0-9])"", ""[img=119]res://textures/icons/$0.png[/img]\\n"")))"),"[right]")</f>
        <v>[right]</v>
      </c>
      <c r="V389" s="4" t="str">
        <f>IFERROR(__xludf.DUMMYFUNCTION("SUBSTITUTE(SUBSTITUTE(SUBSTITUTE(SUBSTITUTE(REGEXREPLACE(SUBSTITUTE(SUBSTITUTE(SUBSTITUTE(SUBSTITUTE(REGEXREPLACE(I389, ""(\[([ROYGBPTQUXZC_]|1?[0-9])\])"", ""[img=45]res://textures/icons/$2.png[/img]""),""--"",""—""),""-&gt;"",""•""),""~@"", CONCATENATE(""["&amp;"i]"",REGEXEXTRACT(B389,""^([\s\S]*),|$""),""[/i]"")),""~"", CONCATENATE(""[i]"",B389,""[/i]"")),""(\([\s\S]*?\))"",""[i][color=#34343A]$0[/color][/i]""), ""&lt;"", ""[""), ""&gt;"", ""]""), ""[/p][p]"", ""[font_size=15]\n\n[/font_size]""), ""[br/]"", ""\n"")"),"")</f>
        <v/>
      </c>
      <c r="W389" s="4" t="str">
        <f t="shared" si="26"/>
        <v>[i][/i]</v>
      </c>
      <c r="X389" s="4" t="str">
        <f t="shared" si="24"/>
        <v>0</v>
      </c>
    </row>
    <row r="390">
      <c r="A390" s="1"/>
      <c r="B390" s="1"/>
      <c r="S390" s="4" t="str">
        <f t="shared" si="25"/>
        <v/>
      </c>
      <c r="T390" s="4" t="str">
        <f>IFERROR(__xludf.DUMMYFUNCTION("CONCATENATE(if(REGEXMATCH(C390,""R""),"" Red"",""""),if(REGEXMATCH(C390,""O""),"" Orange"",""""),if(REGEXMATCH(C390,""Y""),"" Yellow"",""""),if(REGEXMATCH(C390,""G""),"" Green"",""""),if(REGEXMATCH(C390,""B""),"" Blue"",""""),if(REGEXMATCH(C390,""P""),"" "&amp;"Purple"",""""))"),"")</f>
        <v/>
      </c>
      <c r="U390" s="4" t="str">
        <f>IFERROR(__xludf.DUMMYFUNCTION("TRIM(CONCAT(""[right]"", REGEXREPLACE(C390, ""([ROYGBPXZC_]|1?[0-9])"", ""[img=119]res://textures/icons/$0.png[/img]\\n"")))"),"[right]")</f>
        <v>[right]</v>
      </c>
      <c r="V390" s="4" t="str">
        <f>IFERROR(__xludf.DUMMYFUNCTION("SUBSTITUTE(SUBSTITUTE(SUBSTITUTE(SUBSTITUTE(REGEXREPLACE(SUBSTITUTE(SUBSTITUTE(SUBSTITUTE(SUBSTITUTE(REGEXREPLACE(I390, ""(\[([ROYGBPTQUXZC_]|1?[0-9])\])"", ""[img=45]res://textures/icons/$2.png[/img]""),""--"",""—""),""-&gt;"",""•""),""~@"", CONCATENATE(""["&amp;"i]"",REGEXEXTRACT(B390,""^([\s\S]*),|$""),""[/i]"")),""~"", CONCATENATE(""[i]"",B390,""[/i]"")),""(\([\s\S]*?\))"",""[i][color=#34343A]$0[/color][/i]""), ""&lt;"", ""[""), ""&gt;"", ""]""), ""[/p][p]"", ""[font_size=15]\n\n[/font_size]""), ""[br/]"", ""\n"")"),"")</f>
        <v/>
      </c>
      <c r="W390" s="4" t="str">
        <f t="shared" si="26"/>
        <v>[i][/i]</v>
      </c>
      <c r="X390" s="4" t="str">
        <f t="shared" si="24"/>
        <v>0</v>
      </c>
    </row>
    <row r="391">
      <c r="A391" s="1"/>
      <c r="B391" s="1"/>
      <c r="S391" s="4" t="str">
        <f t="shared" si="25"/>
        <v/>
      </c>
      <c r="T391" s="4" t="str">
        <f>IFERROR(__xludf.DUMMYFUNCTION("CONCATENATE(if(REGEXMATCH(C391,""R""),"" Red"",""""),if(REGEXMATCH(C391,""O""),"" Orange"",""""),if(REGEXMATCH(C391,""Y""),"" Yellow"",""""),if(REGEXMATCH(C391,""G""),"" Green"",""""),if(REGEXMATCH(C391,""B""),"" Blue"",""""),if(REGEXMATCH(C391,""P""),"" "&amp;"Purple"",""""))"),"")</f>
        <v/>
      </c>
      <c r="U391" s="4" t="str">
        <f>IFERROR(__xludf.DUMMYFUNCTION("TRIM(CONCAT(""[right]"", REGEXREPLACE(C391, ""([ROYGBPXZC_]|1?[0-9])"", ""[img=119]res://textures/icons/$0.png[/img]\\n"")))"),"[right]")</f>
        <v>[right]</v>
      </c>
      <c r="V391" s="4" t="str">
        <f>IFERROR(__xludf.DUMMYFUNCTION("SUBSTITUTE(SUBSTITUTE(SUBSTITUTE(SUBSTITUTE(REGEXREPLACE(SUBSTITUTE(SUBSTITUTE(SUBSTITUTE(SUBSTITUTE(REGEXREPLACE(I391, ""(\[([ROYGBPTQUXZC_]|1?[0-9])\])"", ""[img=45]res://textures/icons/$2.png[/img]""),""--"",""—""),""-&gt;"",""•""),""~@"", CONCATENATE(""["&amp;"i]"",REGEXEXTRACT(B391,""^([\s\S]*),|$""),""[/i]"")),""~"", CONCATENATE(""[i]"",B391,""[/i]"")),""(\([\s\S]*?\))"",""[i][color=#34343A]$0[/color][/i]""), ""&lt;"", ""[""), ""&gt;"", ""]""), ""[/p][p]"", ""[font_size=15]\n\n[/font_size]""), ""[br/]"", ""\n"")"),"")</f>
        <v/>
      </c>
      <c r="W391" s="4" t="str">
        <f t="shared" si="26"/>
        <v>[i][/i]</v>
      </c>
      <c r="X391" s="4" t="str">
        <f t="shared" si="24"/>
        <v>0</v>
      </c>
    </row>
    <row r="392">
      <c r="A392" s="1"/>
      <c r="B392" s="1"/>
      <c r="S392" s="4" t="str">
        <f t="shared" si="25"/>
        <v/>
      </c>
      <c r="T392" s="4" t="str">
        <f>IFERROR(__xludf.DUMMYFUNCTION("CONCATENATE(if(REGEXMATCH(C392,""R""),"" Red"",""""),if(REGEXMATCH(C392,""O""),"" Orange"",""""),if(REGEXMATCH(C392,""Y""),"" Yellow"",""""),if(REGEXMATCH(C392,""G""),"" Green"",""""),if(REGEXMATCH(C392,""B""),"" Blue"",""""),if(REGEXMATCH(C392,""P""),"" "&amp;"Purple"",""""))"),"")</f>
        <v/>
      </c>
      <c r="U392" s="4" t="str">
        <f>IFERROR(__xludf.DUMMYFUNCTION("TRIM(CONCAT(""[right]"", REGEXREPLACE(C392, ""([ROYGBPXZC_]|1?[0-9])"", ""[img=119]res://textures/icons/$0.png[/img]\\n"")))"),"[right]")</f>
        <v>[right]</v>
      </c>
      <c r="V392" s="4" t="str">
        <f>IFERROR(__xludf.DUMMYFUNCTION("SUBSTITUTE(SUBSTITUTE(SUBSTITUTE(SUBSTITUTE(REGEXREPLACE(SUBSTITUTE(SUBSTITUTE(SUBSTITUTE(SUBSTITUTE(REGEXREPLACE(I392, ""(\[([ROYGBPTQUXZC_]|1?[0-9])\])"", ""[img=45]res://textures/icons/$2.png[/img]""),""--"",""—""),""-&gt;"",""•""),""~@"", CONCATENATE(""["&amp;"i]"",REGEXEXTRACT(B392,""^([\s\S]*),|$""),""[/i]"")),""~"", CONCATENATE(""[i]"",B392,""[/i]"")),""(\([\s\S]*?\))"",""[i][color=#34343A]$0[/color][/i]""), ""&lt;"", ""[""), ""&gt;"", ""]""), ""[/p][p]"", ""[font_size=15]\n\n[/font_size]""), ""[br/]"", ""\n"")"),"")</f>
        <v/>
      </c>
      <c r="W392" s="4" t="str">
        <f t="shared" si="26"/>
        <v>[i][/i]</v>
      </c>
      <c r="X392" s="4" t="str">
        <f t="shared" si="24"/>
        <v>0</v>
      </c>
    </row>
    <row r="393">
      <c r="A393" s="1"/>
      <c r="B393" s="1"/>
      <c r="S393" s="4" t="str">
        <f t="shared" si="25"/>
        <v/>
      </c>
      <c r="T393" s="4" t="str">
        <f>IFERROR(__xludf.DUMMYFUNCTION("CONCATENATE(if(REGEXMATCH(C393,""R""),"" Red"",""""),if(REGEXMATCH(C393,""O""),"" Orange"",""""),if(REGEXMATCH(C393,""Y""),"" Yellow"",""""),if(REGEXMATCH(C393,""G""),"" Green"",""""),if(REGEXMATCH(C393,""B""),"" Blue"",""""),if(REGEXMATCH(C393,""P""),"" "&amp;"Purple"",""""))"),"")</f>
        <v/>
      </c>
      <c r="U393" s="4" t="str">
        <f>IFERROR(__xludf.DUMMYFUNCTION("TRIM(CONCAT(""[right]"", REGEXREPLACE(C393, ""([ROYGBPXZC_]|1?[0-9])"", ""[img=119]res://textures/icons/$0.png[/img]\\n"")))"),"[right]")</f>
        <v>[right]</v>
      </c>
      <c r="V393" s="4" t="str">
        <f>IFERROR(__xludf.DUMMYFUNCTION("SUBSTITUTE(SUBSTITUTE(SUBSTITUTE(SUBSTITUTE(REGEXREPLACE(SUBSTITUTE(SUBSTITUTE(SUBSTITUTE(SUBSTITUTE(REGEXREPLACE(I393, ""(\[([ROYGBPTQUXZC_]|1?[0-9])\])"", ""[img=45]res://textures/icons/$2.png[/img]""),""--"",""—""),""-&gt;"",""•""),""~@"", CONCATENATE(""["&amp;"i]"",REGEXEXTRACT(B393,""^([\s\S]*),|$""),""[/i]"")),""~"", CONCATENATE(""[i]"",B393,""[/i]"")),""(\([\s\S]*?\))"",""[i][color=#34343A]$0[/color][/i]""), ""&lt;"", ""[""), ""&gt;"", ""]""), ""[/p][p]"", ""[font_size=15]\n\n[/font_size]""), ""[br/]"", ""\n"")"),"")</f>
        <v/>
      </c>
      <c r="W393" s="4" t="str">
        <f t="shared" si="26"/>
        <v>[i][/i]</v>
      </c>
      <c r="X393" s="4" t="str">
        <f t="shared" si="24"/>
        <v>0</v>
      </c>
    </row>
    <row r="394">
      <c r="A394" s="1"/>
      <c r="B394" s="1"/>
      <c r="S394" s="4" t="str">
        <f t="shared" si="25"/>
        <v/>
      </c>
      <c r="T394" s="4" t="str">
        <f>IFERROR(__xludf.DUMMYFUNCTION("CONCATENATE(if(REGEXMATCH(C394,""R""),"" Red"",""""),if(REGEXMATCH(C394,""O""),"" Orange"",""""),if(REGEXMATCH(C394,""Y""),"" Yellow"",""""),if(REGEXMATCH(C394,""G""),"" Green"",""""),if(REGEXMATCH(C394,""B""),"" Blue"",""""),if(REGEXMATCH(C394,""P""),"" "&amp;"Purple"",""""))"),"")</f>
        <v/>
      </c>
      <c r="U394" s="4" t="str">
        <f>IFERROR(__xludf.DUMMYFUNCTION("TRIM(CONCAT(""[right]"", REGEXREPLACE(C394, ""([ROYGBPXZC_]|1?[0-9])"", ""[img=119]res://textures/icons/$0.png[/img]\\n"")))"),"[right]")</f>
        <v>[right]</v>
      </c>
      <c r="V394" s="4" t="str">
        <f>IFERROR(__xludf.DUMMYFUNCTION("SUBSTITUTE(SUBSTITUTE(SUBSTITUTE(SUBSTITUTE(REGEXREPLACE(SUBSTITUTE(SUBSTITUTE(SUBSTITUTE(SUBSTITUTE(REGEXREPLACE(I394, ""(\[([ROYGBPTQUXZC_]|1?[0-9])\])"", ""[img=45]res://textures/icons/$2.png[/img]""),""--"",""—""),""-&gt;"",""•""),""~@"", CONCATENATE(""["&amp;"i]"",REGEXEXTRACT(B394,""^([\s\S]*),|$""),""[/i]"")),""~"", CONCATENATE(""[i]"",B394,""[/i]"")),""(\([\s\S]*?\))"",""[i][color=#34343A]$0[/color][/i]""), ""&lt;"", ""[""), ""&gt;"", ""]""), ""[/p][p]"", ""[font_size=15]\n\n[/font_size]""), ""[br/]"", ""\n"")"),"")</f>
        <v/>
      </c>
      <c r="W394" s="4" t="str">
        <f t="shared" si="26"/>
        <v>[i][/i]</v>
      </c>
      <c r="X394" s="4" t="str">
        <f t="shared" si="24"/>
        <v>0</v>
      </c>
    </row>
    <row r="395">
      <c r="A395" s="1"/>
      <c r="B395" s="1"/>
      <c r="S395" s="4" t="str">
        <f t="shared" si="25"/>
        <v/>
      </c>
      <c r="T395" s="4" t="str">
        <f>IFERROR(__xludf.DUMMYFUNCTION("CONCATENATE(if(REGEXMATCH(C395,""R""),"" Red"",""""),if(REGEXMATCH(C395,""O""),"" Orange"",""""),if(REGEXMATCH(C395,""Y""),"" Yellow"",""""),if(REGEXMATCH(C395,""G""),"" Green"",""""),if(REGEXMATCH(C395,""B""),"" Blue"",""""),if(REGEXMATCH(C395,""P""),"" "&amp;"Purple"",""""))"),"")</f>
        <v/>
      </c>
      <c r="U395" s="4" t="str">
        <f>IFERROR(__xludf.DUMMYFUNCTION("TRIM(CONCAT(""[right]"", REGEXREPLACE(C395, ""([ROYGBPXZC_]|1?[0-9])"", ""[img=119]res://textures/icons/$0.png[/img]\\n"")))"),"[right]")</f>
        <v>[right]</v>
      </c>
      <c r="V395" s="4" t="str">
        <f>IFERROR(__xludf.DUMMYFUNCTION("SUBSTITUTE(SUBSTITUTE(SUBSTITUTE(SUBSTITUTE(REGEXREPLACE(SUBSTITUTE(SUBSTITUTE(SUBSTITUTE(SUBSTITUTE(REGEXREPLACE(I395, ""(\[([ROYGBPTQUXZC_]|1?[0-9])\])"", ""[img=45]res://textures/icons/$2.png[/img]""),""--"",""—""),""-&gt;"",""•""),""~@"", CONCATENATE(""["&amp;"i]"",REGEXEXTRACT(B395,""^([\s\S]*),|$""),""[/i]"")),""~"", CONCATENATE(""[i]"",B395,""[/i]"")),""(\([\s\S]*?\))"",""[i][color=#34343A]$0[/color][/i]""), ""&lt;"", ""[""), ""&gt;"", ""]""), ""[/p][p]"", ""[font_size=15]\n\n[/font_size]""), ""[br/]"", ""\n"")"),"")</f>
        <v/>
      </c>
      <c r="W395" s="4" t="str">
        <f t="shared" si="26"/>
        <v>[i][/i]</v>
      </c>
      <c r="X395" s="4" t="str">
        <f t="shared" si="24"/>
        <v>0</v>
      </c>
    </row>
    <row r="396">
      <c r="A396" s="1"/>
      <c r="B396" s="1"/>
      <c r="S396" s="4" t="str">
        <f t="shared" si="25"/>
        <v/>
      </c>
      <c r="T396" s="4" t="str">
        <f>IFERROR(__xludf.DUMMYFUNCTION("CONCATENATE(if(REGEXMATCH(C396,""R""),"" Red"",""""),if(REGEXMATCH(C396,""O""),"" Orange"",""""),if(REGEXMATCH(C396,""Y""),"" Yellow"",""""),if(REGEXMATCH(C396,""G""),"" Green"",""""),if(REGEXMATCH(C396,""B""),"" Blue"",""""),if(REGEXMATCH(C396,""P""),"" "&amp;"Purple"",""""))"),"")</f>
        <v/>
      </c>
      <c r="U396" s="4" t="str">
        <f>IFERROR(__xludf.DUMMYFUNCTION("TRIM(CONCAT(""[right]"", REGEXREPLACE(C396, ""([ROYGBPXZC_]|1?[0-9])"", ""[img=119]res://textures/icons/$0.png[/img]\\n"")))"),"[right]")</f>
        <v>[right]</v>
      </c>
      <c r="V396" s="4" t="str">
        <f>IFERROR(__xludf.DUMMYFUNCTION("SUBSTITUTE(SUBSTITUTE(SUBSTITUTE(SUBSTITUTE(REGEXREPLACE(SUBSTITUTE(SUBSTITUTE(SUBSTITUTE(SUBSTITUTE(REGEXREPLACE(I396, ""(\[([ROYGBPTQUXZC_]|1?[0-9])\])"", ""[img=45]res://textures/icons/$2.png[/img]""),""--"",""—""),""-&gt;"",""•""),""~@"", CONCATENATE(""["&amp;"i]"",REGEXEXTRACT(B396,""^([\s\S]*),|$""),""[/i]"")),""~"", CONCATENATE(""[i]"",B396,""[/i]"")),""(\([\s\S]*?\))"",""[i][color=#34343A]$0[/color][/i]""), ""&lt;"", ""[""), ""&gt;"", ""]""), ""[/p][p]"", ""[font_size=15]\n\n[/font_size]""), ""[br/]"", ""\n"")"),"")</f>
        <v/>
      </c>
      <c r="W396" s="4" t="str">
        <f t="shared" si="26"/>
        <v>[i][/i]</v>
      </c>
      <c r="X396" s="4" t="str">
        <f t="shared" si="24"/>
        <v>0</v>
      </c>
    </row>
    <row r="397">
      <c r="A397" s="1"/>
      <c r="B397" s="1"/>
      <c r="S397" s="4" t="str">
        <f t="shared" si="25"/>
        <v/>
      </c>
      <c r="T397" s="4" t="str">
        <f>IFERROR(__xludf.DUMMYFUNCTION("CONCATENATE(if(REGEXMATCH(C397,""R""),"" Red"",""""),if(REGEXMATCH(C397,""O""),"" Orange"",""""),if(REGEXMATCH(C397,""Y""),"" Yellow"",""""),if(REGEXMATCH(C397,""G""),"" Green"",""""),if(REGEXMATCH(C397,""B""),"" Blue"",""""),if(REGEXMATCH(C397,""P""),"" "&amp;"Purple"",""""))"),"")</f>
        <v/>
      </c>
      <c r="U397" s="4" t="str">
        <f>IFERROR(__xludf.DUMMYFUNCTION("TRIM(CONCAT(""[right]"", REGEXREPLACE(C397, ""([ROYGBPXZC_]|1?[0-9])"", ""[img=119]res://textures/icons/$0.png[/img]\\n"")))"),"[right]")</f>
        <v>[right]</v>
      </c>
      <c r="V397" s="4" t="str">
        <f>IFERROR(__xludf.DUMMYFUNCTION("SUBSTITUTE(SUBSTITUTE(SUBSTITUTE(SUBSTITUTE(REGEXREPLACE(SUBSTITUTE(SUBSTITUTE(SUBSTITUTE(SUBSTITUTE(REGEXREPLACE(I397, ""(\[([ROYGBPTQUXZC_]|1?[0-9])\])"", ""[img=45]res://textures/icons/$2.png[/img]""),""--"",""—""),""-&gt;"",""•""),""~@"", CONCATENATE(""["&amp;"i]"",REGEXEXTRACT(B397,""^([\s\S]*),|$""),""[/i]"")),""~"", CONCATENATE(""[i]"",B397,""[/i]"")),""(\([\s\S]*?\))"",""[i][color=#34343A]$0[/color][/i]""), ""&lt;"", ""[""), ""&gt;"", ""]""), ""[/p][p]"", ""[font_size=15]\n\n[/font_size]""), ""[br/]"", ""\n"")"),"")</f>
        <v/>
      </c>
      <c r="W397" s="4" t="str">
        <f t="shared" si="26"/>
        <v>[i][/i]</v>
      </c>
      <c r="X397" s="4" t="str">
        <f t="shared" si="24"/>
        <v>0</v>
      </c>
    </row>
    <row r="398">
      <c r="A398" s="1"/>
      <c r="B398" s="1"/>
      <c r="S398" s="4" t="str">
        <f t="shared" si="25"/>
        <v/>
      </c>
      <c r="T398" s="4" t="str">
        <f>IFERROR(__xludf.DUMMYFUNCTION("CONCATENATE(if(REGEXMATCH(C398,""R""),"" Red"",""""),if(REGEXMATCH(C398,""O""),"" Orange"",""""),if(REGEXMATCH(C398,""Y""),"" Yellow"",""""),if(REGEXMATCH(C398,""G""),"" Green"",""""),if(REGEXMATCH(C398,""B""),"" Blue"",""""),if(REGEXMATCH(C398,""P""),"" "&amp;"Purple"",""""))"),"")</f>
        <v/>
      </c>
      <c r="U398" s="4" t="str">
        <f>IFERROR(__xludf.DUMMYFUNCTION("TRIM(CONCAT(""[right]"", REGEXREPLACE(C398, ""([ROYGBPXZC_]|1?[0-9])"", ""[img=119]res://textures/icons/$0.png[/img]\\n"")))"),"[right]")</f>
        <v>[right]</v>
      </c>
      <c r="V398" s="4" t="str">
        <f>IFERROR(__xludf.DUMMYFUNCTION("SUBSTITUTE(SUBSTITUTE(SUBSTITUTE(SUBSTITUTE(REGEXREPLACE(SUBSTITUTE(SUBSTITUTE(SUBSTITUTE(SUBSTITUTE(REGEXREPLACE(I398, ""(\[([ROYGBPTQUXZC_]|1?[0-9])\])"", ""[img=45]res://textures/icons/$2.png[/img]""),""--"",""—""),""-&gt;"",""•""),""~@"", CONCATENATE(""["&amp;"i]"",REGEXEXTRACT(B398,""^([\s\S]*),|$""),""[/i]"")),""~"", CONCATENATE(""[i]"",B398,""[/i]"")),""(\([\s\S]*?\))"",""[i][color=#34343A]$0[/color][/i]""), ""&lt;"", ""[""), ""&gt;"", ""]""), ""[/p][p]"", ""[font_size=15]\n\n[/font_size]""), ""[br/]"", ""\n"")"),"")</f>
        <v/>
      </c>
      <c r="W398" s="4" t="str">
        <f t="shared" si="26"/>
        <v>[i][/i]</v>
      </c>
      <c r="X398" s="4" t="str">
        <f t="shared" si="24"/>
        <v>0</v>
      </c>
    </row>
    <row r="399">
      <c r="A399" s="1"/>
      <c r="B399" s="1"/>
      <c r="S399" s="4" t="str">
        <f t="shared" si="25"/>
        <v/>
      </c>
      <c r="T399" s="4" t="str">
        <f>IFERROR(__xludf.DUMMYFUNCTION("CONCATENATE(if(REGEXMATCH(C399,""R""),"" Red"",""""),if(REGEXMATCH(C399,""O""),"" Orange"",""""),if(REGEXMATCH(C399,""Y""),"" Yellow"",""""),if(REGEXMATCH(C399,""G""),"" Green"",""""),if(REGEXMATCH(C399,""B""),"" Blue"",""""),if(REGEXMATCH(C399,""P""),"" "&amp;"Purple"",""""))"),"")</f>
        <v/>
      </c>
      <c r="U399" s="4" t="str">
        <f>IFERROR(__xludf.DUMMYFUNCTION("TRIM(CONCAT(""[right]"", REGEXREPLACE(C399, ""([ROYGBPXZC_]|1?[0-9])"", ""[img=119]res://textures/icons/$0.png[/img]\\n"")))"),"[right]")</f>
        <v>[right]</v>
      </c>
      <c r="V399" s="4" t="str">
        <f>IFERROR(__xludf.DUMMYFUNCTION("SUBSTITUTE(SUBSTITUTE(SUBSTITUTE(SUBSTITUTE(REGEXREPLACE(SUBSTITUTE(SUBSTITUTE(SUBSTITUTE(SUBSTITUTE(REGEXREPLACE(I399, ""(\[([ROYGBPTQUXZC_]|1?[0-9])\])"", ""[img=45]res://textures/icons/$2.png[/img]""),""--"",""—""),""-&gt;"",""•""),""~@"", CONCATENATE(""["&amp;"i]"",REGEXEXTRACT(B399,""^([\s\S]*),|$""),""[/i]"")),""~"", CONCATENATE(""[i]"",B399,""[/i]"")),""(\([\s\S]*?\))"",""[i][color=#34343A]$0[/color][/i]""), ""&lt;"", ""[""), ""&gt;"", ""]""), ""[/p][p]"", ""[font_size=15]\n\n[/font_size]""), ""[br/]"", ""\n"")"),"")</f>
        <v/>
      </c>
      <c r="W399" s="4" t="str">
        <f t="shared" si="26"/>
        <v>[i][/i]</v>
      </c>
      <c r="X399" s="4" t="str">
        <f t="shared" si="24"/>
        <v>0</v>
      </c>
    </row>
    <row r="400">
      <c r="A400" s="1"/>
      <c r="B400" s="1"/>
      <c r="S400" s="4" t="str">
        <f t="shared" si="25"/>
        <v/>
      </c>
      <c r="T400" s="4" t="str">
        <f>IFERROR(__xludf.DUMMYFUNCTION("CONCATENATE(if(REGEXMATCH(C400,""R""),"" Red"",""""),if(REGEXMATCH(C400,""O""),"" Orange"",""""),if(REGEXMATCH(C400,""Y""),"" Yellow"",""""),if(REGEXMATCH(C400,""G""),"" Green"",""""),if(REGEXMATCH(C400,""B""),"" Blue"",""""),if(REGEXMATCH(C400,""P""),"" "&amp;"Purple"",""""))"),"")</f>
        <v/>
      </c>
      <c r="U400" s="4" t="str">
        <f>IFERROR(__xludf.DUMMYFUNCTION("TRIM(CONCAT(""[right]"", REGEXREPLACE(C400, ""([ROYGBPXZC_]|1?[0-9])"", ""[img=119]res://textures/icons/$0.png[/img]\\n"")))"),"[right]")</f>
        <v>[right]</v>
      </c>
      <c r="V400" s="4" t="str">
        <f>IFERROR(__xludf.DUMMYFUNCTION("SUBSTITUTE(SUBSTITUTE(SUBSTITUTE(SUBSTITUTE(REGEXREPLACE(SUBSTITUTE(SUBSTITUTE(SUBSTITUTE(SUBSTITUTE(REGEXREPLACE(I400, ""(\[([ROYGBPTQUXZC_]|1?[0-9])\])"", ""[img=45]res://textures/icons/$2.png[/img]""),""--"",""—""),""-&gt;"",""•""),""~@"", CONCATENATE(""["&amp;"i]"",REGEXEXTRACT(B400,""^([\s\S]*),|$""),""[/i]"")),""~"", CONCATENATE(""[i]"",B400,""[/i]"")),""(\([\s\S]*?\))"",""[i][color=#34343A]$0[/color][/i]""), ""&lt;"", ""[""), ""&gt;"", ""]""), ""[/p][p]"", ""[font_size=15]\n\n[/font_size]""), ""[br/]"", ""\n"")"),"")</f>
        <v/>
      </c>
      <c r="W400" s="4" t="str">
        <f t="shared" si="26"/>
        <v>[i][/i]</v>
      </c>
      <c r="X400" s="4" t="str">
        <f t="shared" si="24"/>
        <v>0</v>
      </c>
    </row>
    <row r="401">
      <c r="A401" s="1"/>
      <c r="B401" s="1"/>
      <c r="S401" s="4" t="str">
        <f t="shared" si="25"/>
        <v/>
      </c>
      <c r="T401" s="4" t="str">
        <f>IFERROR(__xludf.DUMMYFUNCTION("CONCATENATE(if(REGEXMATCH(C401,""R""),"" Red"",""""),if(REGEXMATCH(C401,""O""),"" Orange"",""""),if(REGEXMATCH(C401,""Y""),"" Yellow"",""""),if(REGEXMATCH(C401,""G""),"" Green"",""""),if(REGEXMATCH(C401,""B""),"" Blue"",""""),if(REGEXMATCH(C401,""P""),"" "&amp;"Purple"",""""))"),"")</f>
        <v/>
      </c>
      <c r="U401" s="4" t="str">
        <f>IFERROR(__xludf.DUMMYFUNCTION("TRIM(CONCAT(""[right]"", REGEXREPLACE(C401, ""([ROYGBPXZC_]|1?[0-9])"", ""[img=119]res://textures/icons/$0.png[/img]\\n"")))"),"[right]")</f>
        <v>[right]</v>
      </c>
      <c r="V401" s="4" t="str">
        <f>IFERROR(__xludf.DUMMYFUNCTION("SUBSTITUTE(SUBSTITUTE(SUBSTITUTE(SUBSTITUTE(REGEXREPLACE(SUBSTITUTE(SUBSTITUTE(SUBSTITUTE(SUBSTITUTE(REGEXREPLACE(I401, ""(\[([ROYGBPTQUXZC_]|1?[0-9])\])"", ""[img=45]res://textures/icons/$2.png[/img]""),""--"",""—""),""-&gt;"",""•""),""~@"", CONCATENATE(""["&amp;"i]"",REGEXEXTRACT(B401,""^([\s\S]*),|$""),""[/i]"")),""~"", CONCATENATE(""[i]"",B401,""[/i]"")),""(\([\s\S]*?\))"",""[i][color=#34343A]$0[/color][/i]""), ""&lt;"", ""[""), ""&gt;"", ""]""), ""[/p][p]"", ""[font_size=15]\n\n[/font_size]""), ""[br/]"", ""\n"")"),"")</f>
        <v/>
      </c>
      <c r="W401" s="4" t="str">
        <f t="shared" si="26"/>
        <v>[i][/i]</v>
      </c>
      <c r="X401" s="4" t="str">
        <f t="shared" si="24"/>
        <v>0</v>
      </c>
    </row>
    <row r="402">
      <c r="A402" s="1"/>
      <c r="B402" s="1"/>
      <c r="S402" s="4" t="str">
        <f t="shared" si="25"/>
        <v/>
      </c>
      <c r="T402" s="4" t="str">
        <f>IFERROR(__xludf.DUMMYFUNCTION("CONCATENATE(if(REGEXMATCH(C402,""R""),"" Red"",""""),if(REGEXMATCH(C402,""O""),"" Orange"",""""),if(REGEXMATCH(C402,""Y""),"" Yellow"",""""),if(REGEXMATCH(C402,""G""),"" Green"",""""),if(REGEXMATCH(C402,""B""),"" Blue"",""""),if(REGEXMATCH(C402,""P""),"" "&amp;"Purple"",""""))"),"")</f>
        <v/>
      </c>
      <c r="U402" s="4" t="str">
        <f>IFERROR(__xludf.DUMMYFUNCTION("TRIM(CONCAT(""[right]"", REGEXREPLACE(C402, ""([ROYGBPXZC_]|1?[0-9])"", ""[img=119]res://textures/icons/$0.png[/img]\\n"")))"),"[right]")</f>
        <v>[right]</v>
      </c>
      <c r="V402" s="4" t="str">
        <f>IFERROR(__xludf.DUMMYFUNCTION("SUBSTITUTE(SUBSTITUTE(SUBSTITUTE(SUBSTITUTE(REGEXREPLACE(SUBSTITUTE(SUBSTITUTE(SUBSTITUTE(SUBSTITUTE(REGEXREPLACE(I402, ""(\[([ROYGBPTQUXZC_]|1?[0-9])\])"", ""[img=45]res://textures/icons/$2.png[/img]""),""--"",""—""),""-&gt;"",""•""),""~@"", CONCATENATE(""["&amp;"i]"",REGEXEXTRACT(B402,""^([\s\S]*),|$""),""[/i]"")),""~"", CONCATENATE(""[i]"",B402,""[/i]"")),""(\([\s\S]*?\))"",""[i][color=#34343A]$0[/color][/i]""), ""&lt;"", ""[""), ""&gt;"", ""]""), ""[/p][p]"", ""[font_size=15]\n\n[/font_size]""), ""[br/]"", ""\n"")"),"")</f>
        <v/>
      </c>
      <c r="W402" s="4" t="str">
        <f t="shared" si="26"/>
        <v>[i][/i]</v>
      </c>
      <c r="X402" s="4" t="str">
        <f t="shared" si="24"/>
        <v>0</v>
      </c>
    </row>
    <row r="403">
      <c r="A403" s="1"/>
      <c r="B403" s="1"/>
      <c r="S403" s="4" t="str">
        <f t="shared" si="25"/>
        <v/>
      </c>
      <c r="T403" s="4" t="str">
        <f>IFERROR(__xludf.DUMMYFUNCTION("CONCATENATE(if(REGEXMATCH(C403,""R""),"" Red"",""""),if(REGEXMATCH(C403,""O""),"" Orange"",""""),if(REGEXMATCH(C403,""Y""),"" Yellow"",""""),if(REGEXMATCH(C403,""G""),"" Green"",""""),if(REGEXMATCH(C403,""B""),"" Blue"",""""),if(REGEXMATCH(C403,""P""),"" "&amp;"Purple"",""""))"),"")</f>
        <v/>
      </c>
      <c r="U403" s="4" t="str">
        <f>IFERROR(__xludf.DUMMYFUNCTION("TRIM(CONCAT(""[right]"", REGEXREPLACE(C403, ""([ROYGBPXZC_]|1?[0-9])"", ""[img=119]res://textures/icons/$0.png[/img]\\n"")))"),"[right]")</f>
        <v>[right]</v>
      </c>
      <c r="V403" s="4" t="str">
        <f>IFERROR(__xludf.DUMMYFUNCTION("SUBSTITUTE(SUBSTITUTE(SUBSTITUTE(SUBSTITUTE(REGEXREPLACE(SUBSTITUTE(SUBSTITUTE(SUBSTITUTE(SUBSTITUTE(REGEXREPLACE(I403, ""(\[([ROYGBPTQUXZC_]|1?[0-9])\])"", ""[img=45]res://textures/icons/$2.png[/img]""),""--"",""—""),""-&gt;"",""•""),""~@"", CONCATENATE(""["&amp;"i]"",REGEXEXTRACT(B403,""^([\s\S]*),|$""),""[/i]"")),""~"", CONCATENATE(""[i]"",B403,""[/i]"")),""(\([\s\S]*?\))"",""[i][color=#34343A]$0[/color][/i]""), ""&lt;"", ""[""), ""&gt;"", ""]""), ""[/p][p]"", ""[font_size=15]\n\n[/font_size]""), ""[br/]"", ""\n"")"),"")</f>
        <v/>
      </c>
      <c r="W403" s="4" t="str">
        <f t="shared" si="26"/>
        <v>[i][/i]</v>
      </c>
      <c r="X403" s="4" t="str">
        <f t="shared" si="24"/>
        <v>0</v>
      </c>
    </row>
    <row r="404">
      <c r="A404" s="1"/>
      <c r="B404" s="1"/>
      <c r="S404" s="4" t="str">
        <f t="shared" si="25"/>
        <v/>
      </c>
      <c r="T404" s="4" t="str">
        <f>IFERROR(__xludf.DUMMYFUNCTION("CONCATENATE(if(REGEXMATCH(C404,""R""),"" Red"",""""),if(REGEXMATCH(C404,""O""),"" Orange"",""""),if(REGEXMATCH(C404,""Y""),"" Yellow"",""""),if(REGEXMATCH(C404,""G""),"" Green"",""""),if(REGEXMATCH(C404,""B""),"" Blue"",""""),if(REGEXMATCH(C404,""P""),"" "&amp;"Purple"",""""))"),"")</f>
        <v/>
      </c>
      <c r="U404" s="4" t="str">
        <f>IFERROR(__xludf.DUMMYFUNCTION("TRIM(CONCAT(""[right]"", REGEXREPLACE(C404, ""([ROYGBPXZC_]|1?[0-9])"", ""[img=119]res://textures/icons/$0.png[/img]\\n"")))"),"[right]")</f>
        <v>[right]</v>
      </c>
      <c r="V404" s="4" t="str">
        <f>IFERROR(__xludf.DUMMYFUNCTION("SUBSTITUTE(SUBSTITUTE(SUBSTITUTE(SUBSTITUTE(REGEXREPLACE(SUBSTITUTE(SUBSTITUTE(SUBSTITUTE(SUBSTITUTE(REGEXREPLACE(I404, ""(\[([ROYGBPTQUXZC_]|1?[0-9])\])"", ""[img=45]res://textures/icons/$2.png[/img]""),""--"",""—""),""-&gt;"",""•""),""~@"", CONCATENATE(""["&amp;"i]"",REGEXEXTRACT(B404,""^([\s\S]*),|$""),""[/i]"")),""~"", CONCATENATE(""[i]"",B404,""[/i]"")),""(\([\s\S]*?\))"",""[i][color=#34343A]$0[/color][/i]""), ""&lt;"", ""[""), ""&gt;"", ""]""), ""[/p][p]"", ""[font_size=15]\n\n[/font_size]""), ""[br/]"", ""\n"")"),"")</f>
        <v/>
      </c>
      <c r="W404" s="4" t="str">
        <f t="shared" si="26"/>
        <v>[i][/i]</v>
      </c>
      <c r="X404" s="4" t="str">
        <f t="shared" si="24"/>
        <v>0</v>
      </c>
    </row>
    <row r="405">
      <c r="A405" s="1"/>
      <c r="B405" s="1"/>
      <c r="S405" s="4" t="str">
        <f t="shared" si="25"/>
        <v/>
      </c>
      <c r="T405" s="4" t="str">
        <f>IFERROR(__xludf.DUMMYFUNCTION("CONCATENATE(if(REGEXMATCH(C405,""R""),"" Red"",""""),if(REGEXMATCH(C405,""O""),"" Orange"",""""),if(REGEXMATCH(C405,""Y""),"" Yellow"",""""),if(REGEXMATCH(C405,""G""),"" Green"",""""),if(REGEXMATCH(C405,""B""),"" Blue"",""""),if(REGEXMATCH(C405,""P""),"" "&amp;"Purple"",""""))"),"")</f>
        <v/>
      </c>
      <c r="U405" s="4" t="str">
        <f>IFERROR(__xludf.DUMMYFUNCTION("TRIM(CONCAT(""[right]"", REGEXREPLACE(C405, ""([ROYGBPXZC_]|1?[0-9])"", ""[img=119]res://textures/icons/$0.png[/img]\\n"")))"),"[right]")</f>
        <v>[right]</v>
      </c>
      <c r="V405" s="4" t="str">
        <f>IFERROR(__xludf.DUMMYFUNCTION("SUBSTITUTE(SUBSTITUTE(SUBSTITUTE(SUBSTITUTE(REGEXREPLACE(SUBSTITUTE(SUBSTITUTE(SUBSTITUTE(SUBSTITUTE(REGEXREPLACE(I405, ""(\[([ROYGBPTQUXZC_]|1?[0-9])\])"", ""[img=45]res://textures/icons/$2.png[/img]""),""--"",""—""),""-&gt;"",""•""),""~@"", CONCATENATE(""["&amp;"i]"",REGEXEXTRACT(B405,""^([\s\S]*),|$""),""[/i]"")),""~"", CONCATENATE(""[i]"",B405,""[/i]"")),""(\([\s\S]*?\))"",""[i][color=#34343A]$0[/color][/i]""), ""&lt;"", ""[""), ""&gt;"", ""]""), ""[/p][p]"", ""[font_size=15]\n\n[/font_size]""), ""[br/]"", ""\n"")"),"")</f>
        <v/>
      </c>
      <c r="W405" s="4" t="str">
        <f t="shared" si="26"/>
        <v>[i][/i]</v>
      </c>
      <c r="X405" s="4" t="str">
        <f t="shared" si="24"/>
        <v>0</v>
      </c>
    </row>
    <row r="406">
      <c r="A406" s="1"/>
      <c r="B406" s="1"/>
      <c r="S406" s="4" t="str">
        <f t="shared" si="25"/>
        <v/>
      </c>
      <c r="T406" s="4" t="str">
        <f>IFERROR(__xludf.DUMMYFUNCTION("CONCATENATE(if(REGEXMATCH(C406,""R""),"" Red"",""""),if(REGEXMATCH(C406,""O""),"" Orange"",""""),if(REGEXMATCH(C406,""Y""),"" Yellow"",""""),if(REGEXMATCH(C406,""G""),"" Green"",""""),if(REGEXMATCH(C406,""B""),"" Blue"",""""),if(REGEXMATCH(C406,""P""),"" "&amp;"Purple"",""""))"),"")</f>
        <v/>
      </c>
      <c r="U406" s="4" t="str">
        <f>IFERROR(__xludf.DUMMYFUNCTION("TRIM(CONCAT(""[right]"", REGEXREPLACE(C406, ""([ROYGBPXZC_]|1?[0-9])"", ""[img=119]res://textures/icons/$0.png[/img]\\n"")))"),"[right]")</f>
        <v>[right]</v>
      </c>
      <c r="V406" s="4" t="str">
        <f>IFERROR(__xludf.DUMMYFUNCTION("SUBSTITUTE(SUBSTITUTE(SUBSTITUTE(SUBSTITUTE(REGEXREPLACE(SUBSTITUTE(SUBSTITUTE(SUBSTITUTE(SUBSTITUTE(REGEXREPLACE(I406, ""(\[([ROYGBPTQUXZC_]|1?[0-9])\])"", ""[img=45]res://textures/icons/$2.png[/img]""),""--"",""—""),""-&gt;"",""•""),""~@"", CONCATENATE(""["&amp;"i]"",REGEXEXTRACT(B406,""^([\s\S]*),|$""),""[/i]"")),""~"", CONCATENATE(""[i]"",B406,""[/i]"")),""(\([\s\S]*?\))"",""[i][color=#34343A]$0[/color][/i]""), ""&lt;"", ""[""), ""&gt;"", ""]""), ""[/p][p]"", ""[font_size=15]\n\n[/font_size]""), ""[br/]"", ""\n"")"),"")</f>
        <v/>
      </c>
      <c r="W406" s="4" t="str">
        <f t="shared" si="26"/>
        <v>[i][/i]</v>
      </c>
      <c r="X406" s="4" t="str">
        <f t="shared" si="24"/>
        <v>0</v>
      </c>
    </row>
    <row r="407">
      <c r="A407" s="1"/>
      <c r="B407" s="1"/>
      <c r="S407" s="4" t="str">
        <f t="shared" si="25"/>
        <v/>
      </c>
      <c r="T407" s="4" t="str">
        <f>IFERROR(__xludf.DUMMYFUNCTION("CONCATENATE(if(REGEXMATCH(C407,""R""),"" Red"",""""),if(REGEXMATCH(C407,""O""),"" Orange"",""""),if(REGEXMATCH(C407,""Y""),"" Yellow"",""""),if(REGEXMATCH(C407,""G""),"" Green"",""""),if(REGEXMATCH(C407,""B""),"" Blue"",""""),if(REGEXMATCH(C407,""P""),"" "&amp;"Purple"",""""))"),"")</f>
        <v/>
      </c>
      <c r="U407" s="4" t="str">
        <f>IFERROR(__xludf.DUMMYFUNCTION("TRIM(CONCAT(""[right]"", REGEXREPLACE(C407, ""([ROYGBPXZC_]|1?[0-9])"", ""[img=119]res://textures/icons/$0.png[/img]\\n"")))"),"[right]")</f>
        <v>[right]</v>
      </c>
      <c r="V407" s="4" t="str">
        <f>IFERROR(__xludf.DUMMYFUNCTION("SUBSTITUTE(SUBSTITUTE(SUBSTITUTE(SUBSTITUTE(REGEXREPLACE(SUBSTITUTE(SUBSTITUTE(SUBSTITUTE(SUBSTITUTE(REGEXREPLACE(I407, ""(\[([ROYGBPTQUXZC_]|1?[0-9])\])"", ""[img=45]res://textures/icons/$2.png[/img]""),""--"",""—""),""-&gt;"",""•""),""~@"", CONCATENATE(""["&amp;"i]"",REGEXEXTRACT(B407,""^([\s\S]*),|$""),""[/i]"")),""~"", CONCATENATE(""[i]"",B407,""[/i]"")),""(\([\s\S]*?\))"",""[i][color=#34343A]$0[/color][/i]""), ""&lt;"", ""[""), ""&gt;"", ""]""), ""[/p][p]"", ""[font_size=15]\n\n[/font_size]""), ""[br/]"", ""\n"")"),"")</f>
        <v/>
      </c>
      <c r="W407" s="4" t="str">
        <f t="shared" si="26"/>
        <v>[i][/i]</v>
      </c>
      <c r="X407" s="4" t="str">
        <f t="shared" si="24"/>
        <v>0</v>
      </c>
    </row>
  </sheetData>
  <hyperlinks>
    <hyperlink r:id="rId1" ref="O36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4"/>
  <extLst>
    <ext xmlns:x14="http://schemas.microsoft.com/office/spreadsheetml/2009/9/main" uri="{CCE6A557-97BC-4b89-ADB6-D9C93CAAB3DF}">
      <x14:dataValidations xmlns:xm="http://schemas.microsoft.com/office/excel/2006/main" count="6" disablePrompts="0">
        <x14:dataValidation xr:uid="{0069004B-00B6-425C-90ED-00AC00340097}" type="list" allowBlank="1" errorStyle="stop" imeMode="noControl" operator="between" showDropDown="0" showErrorMessage="0" showInputMessage="0">
          <x14:formula1>
            <xm:f>"Red,Orange,Yellow,Green,Blue,Purple,Generic,Multicolor"</xm:f>
          </x14:formula1>
          <xm:sqref>D2:D89 D91:D387</xm:sqref>
        </x14:dataValidation>
        <x14:dataValidation xr:uid="{009A00AC-001E-4BE6-AB2D-009600AF00EF}" type="list" allowBlank="1" errorStyle="stop" imeMode="noControl" operator="between" showDropDown="0" showErrorMessage="0" showInputMessage="0">
          <x14:formula1>
            <xm:f>",Melee,Ranged"</xm:f>
          </x14:formula1>
          <xm:sqref>E3:E41 E43:E46 E48:E89 E91:E201 E203:E208 E211:E220 E222:E225 E227 E229:E235 E237:E252 E254:E340 E342:E351 E353:E387</xm:sqref>
        </x14:dataValidation>
        <x14:dataValidation xr:uid="{00A700AA-001C-467A-BB1E-0072007F0023}" type="custom" allowBlank="1" errorStyle="stop" imeMode="noControl" operator="between" showDropDown="1" showErrorMessage="0" showInputMessage="0">
          <x14:formula1>
            <xm:f>countif(A:A,A1)=1</xm:f>
          </x14:formula1>
          <xm:sqref>A1:B407</xm:sqref>
        </x14:dataValidation>
        <x14:dataValidation xr:uid="{00EC00B6-0010-4254-AEE1-008C0048001A}" type="list" allowBlank="1" errorStyle="stop" imeMode="noControl" operator="between" showDropDown="0" showErrorMessage="0" showInputMessage="0">
          <x14:formula1>
            <xm:f>",Melee,Ranged,Formation"</xm:f>
          </x14:formula1>
          <xm:sqref>E2 E202 E209:E210 E221 E226 E228 E352</xm:sqref>
        </x14:dataValidation>
        <x14:dataValidation xr:uid="{00080009-0029-4B19-9507-00DE00630044}" type="custom" allowBlank="1" errorStyle="stop" imeMode="noControl" operator="between" showDropDown="1" showErrorMessage="0" showInputMessage="0">
          <x14:formula1>
            <xm:f>NOT(ISBLANK(H1))</xm:f>
          </x14:formula1>
          <xm:sqref>H1:H41 H43:H46 H48:H89 H91:H97 H99:H174 H178:H340 H342:H387</xm:sqref>
        </x14:dataValidation>
        <x14:dataValidation xr:uid="{00E00059-001A-4DBD-9ACB-006E009F00D8}" type="list" allowBlank="1" errorStyle="stop" imeMode="noControl" operator="between" showDropDown="0" showErrorMessage="0" showInputMessage="0">
          <x14:formula1>
            <xm:f>"Commander,Asset,R. Asset,Effect,R. Effect,Generator,R. Generator,Gen. Asset,R.Gen. Asset"</xm:f>
          </x14:formula1>
          <xm:sqref>F2:F46 F48:F89 F91:F235 F237:F340 F342:F387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ONLYOFFICE/7.3.3.50</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cp:revision>
  <dcterms:modified xsi:type="dcterms:W3CDTF">2023-04-14T06:28:37Z</dcterms:modified>
</cp:coreProperties>
</file>