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bbb691a63e824ab/Documents/School/Capstone/Documentation/Final Submissions/"/>
    </mc:Choice>
  </mc:AlternateContent>
  <xr:revisionPtr revIDLastSave="1300" documentId="8_{ECBB1FAB-28D1-473B-88D4-FB8D8BFB9E95}" xr6:coauthVersionLast="47" xr6:coauthVersionMax="47" xr10:uidLastSave="{E7FFEBBC-B4E9-48EB-8EC3-1E6BA1CDE96F}"/>
  <bookViews>
    <workbookView xWindow="-108" yWindow="-108" windowWidth="23256" windowHeight="12456" activeTab="1" xr2:uid="{DC963856-7531-0D46-9446-847688DB7CD4}"/>
  </bookViews>
  <sheets>
    <sheet name="Table of Contents" sheetId="16" r:id="rId1"/>
    <sheet name="Main Budget" sheetId="10" r:id="rId2"/>
    <sheet name="Node Controller" sheetId="1" r:id="rId3"/>
    <sheet name="Base Station" sheetId="14" r:id="rId4"/>
    <sheet name="TANK—Mechanical " sheetId="4" r:id="rId5"/>
    <sheet name="DEVICE—Lighting" sheetId="5" r:id="rId6"/>
    <sheet name="DEVICE—TempHum" sheetId="6" r:id="rId7"/>
    <sheet name="DEVICE—AC Outlet" sheetId="7" r:id="rId8"/>
    <sheet name="DEVICE—Leak" sheetId="8" r:id="rId9"/>
    <sheet name="DEVICE—PH" sheetId="9" r:id="rId10"/>
    <sheet name="Supplies" sheetId="11" r:id="rId11"/>
    <sheet name="--data validation--" sheetId="17" r:id="rId12"/>
  </sheets>
  <definedNames>
    <definedName name="Payees">'--data validation--'!$A$1:$A$5</definedName>
    <definedName name="Unit_Options">'--data validation--'!$C$1:$C$5</definedName>
    <definedName name="Y_N">'--data validation--'!$B$1:$B$2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F6" i="10"/>
  <c r="J20" i="10"/>
  <c r="J21" i="10"/>
  <c r="C31" i="10" l="1"/>
  <c r="J11" i="7"/>
  <c r="J12" i="7"/>
  <c r="E22" i="10"/>
  <c r="R7" i="10"/>
  <c r="R8" i="10"/>
  <c r="R9" i="10"/>
  <c r="R10" i="10"/>
  <c r="R11" i="10"/>
  <c r="R12" i="10"/>
  <c r="Q12" i="10"/>
  <c r="Q7" i="10"/>
  <c r="Q8" i="10"/>
  <c r="Q9" i="10"/>
  <c r="Q10" i="10"/>
  <c r="Q11" i="10"/>
  <c r="O5" i="10"/>
  <c r="L5" i="10"/>
  <c r="L7" i="10" s="1"/>
  <c r="J32" i="14"/>
  <c r="J31" i="14"/>
  <c r="C14" i="10"/>
  <c r="E21" i="10"/>
  <c r="F21" i="10" s="1"/>
  <c r="E20" i="10"/>
  <c r="F20" i="10" s="1"/>
  <c r="E19" i="10"/>
  <c r="F19" i="10" s="1"/>
  <c r="E18" i="10"/>
  <c r="F18" i="10" s="1"/>
  <c r="F14" i="10"/>
  <c r="C39" i="10" s="1"/>
  <c r="D14" i="10"/>
  <c r="H14" i="7"/>
  <c r="H11" i="5"/>
  <c r="J11" i="5" s="1"/>
  <c r="H14" i="5"/>
  <c r="J14" i="5" s="1"/>
  <c r="H12" i="5"/>
  <c r="J12" i="5" s="1"/>
  <c r="H10" i="5"/>
  <c r="J10" i="5" s="1"/>
  <c r="J13" i="7"/>
  <c r="J14" i="7"/>
  <c r="H6" i="6"/>
  <c r="J6" i="6" s="1"/>
  <c r="H7" i="6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" i="14"/>
  <c r="J4" i="14"/>
  <c r="H31" i="14"/>
  <c r="J3" i="11"/>
  <c r="J4" i="11"/>
  <c r="J7" i="6"/>
  <c r="J4" i="6"/>
  <c r="J5" i="6"/>
  <c r="J3" i="6"/>
  <c r="J5" i="8"/>
  <c r="J3" i="8"/>
  <c r="J4" i="8"/>
  <c r="J10" i="7"/>
  <c r="J9" i="7"/>
  <c r="E27" i="10"/>
  <c r="J4" i="7"/>
  <c r="J5" i="7"/>
  <c r="J6" i="7"/>
  <c r="J7" i="7"/>
  <c r="J8" i="7"/>
  <c r="J3" i="7"/>
  <c r="F27" i="10"/>
  <c r="J3" i="5"/>
  <c r="J4" i="5"/>
  <c r="J5" i="5"/>
  <c r="J6" i="5"/>
  <c r="J7" i="5"/>
  <c r="J8" i="5"/>
  <c r="J9" i="5"/>
  <c r="J13" i="5"/>
  <c r="J15" i="5"/>
  <c r="J3" i="9"/>
  <c r="J4" i="9"/>
  <c r="J23" i="4"/>
  <c r="H22" i="4"/>
  <c r="J22" i="4" s="1"/>
  <c r="J21" i="4"/>
  <c r="J3" i="4"/>
  <c r="J4" i="4"/>
  <c r="J5" i="4"/>
  <c r="J6" i="4"/>
  <c r="J7" i="4"/>
  <c r="J24" i="4"/>
  <c r="C35" i="10" s="1"/>
  <c r="C43" i="10" s="1"/>
  <c r="J25" i="4"/>
  <c r="J8" i="4"/>
  <c r="J26" i="4"/>
  <c r="J9" i="4"/>
  <c r="J10" i="4"/>
  <c r="J11" i="4"/>
  <c r="J12" i="4"/>
  <c r="J13" i="4"/>
  <c r="J14" i="4"/>
  <c r="J15" i="4"/>
  <c r="J16" i="4"/>
  <c r="J17" i="4"/>
  <c r="J18" i="4"/>
  <c r="J19" i="4"/>
  <c r="J20" i="4"/>
  <c r="F27" i="4"/>
  <c r="J27" i="4" s="1"/>
  <c r="F28" i="4"/>
  <c r="J28" i="4" s="1"/>
  <c r="C32" i="10" l="1"/>
  <c r="C41" i="10"/>
  <c r="L8" i="10"/>
  <c r="L6" i="10"/>
  <c r="O6" i="10"/>
  <c r="C42" i="10" s="1"/>
  <c r="F23" i="10"/>
  <c r="C40" i="10" s="1"/>
  <c r="C44" i="10" l="1"/>
  <c r="M6" i="10"/>
  <c r="C33" i="10"/>
  <c r="C36" i="10" s="1"/>
  <c r="P5" i="10"/>
  <c r="Q5" i="10" s="1"/>
  <c r="M11" i="10"/>
  <c r="M7" i="10"/>
  <c r="N7" i="10" s="1"/>
  <c r="M10" i="10"/>
  <c r="N6" i="10"/>
  <c r="M9" i="10"/>
  <c r="M5" i="10"/>
  <c r="N5" i="10" s="1"/>
  <c r="P6" i="10"/>
  <c r="Q6" i="10" s="1"/>
  <c r="M12" i="10"/>
  <c r="M8" i="10"/>
  <c r="N8" i="10" s="1"/>
  <c r="L9" i="10"/>
  <c r="C45" i="10" l="1"/>
  <c r="P42" i="10" s="1"/>
  <c r="R6" i="10"/>
  <c r="R5" i="10"/>
  <c r="Q13" i="10"/>
  <c r="P40" i="10" s="1"/>
  <c r="N9" i="10"/>
  <c r="L10" i="10"/>
  <c r="J22" i="10" l="1"/>
  <c r="N10" i="10"/>
  <c r="L11" i="10"/>
  <c r="N11" i="10" s="1"/>
  <c r="J24" i="10"/>
  <c r="J23" i="10"/>
  <c r="J25" i="10"/>
  <c r="L12" i="10" l="1"/>
  <c r="N12" i="10" s="1"/>
  <c r="R13" i="10" l="1"/>
</calcChain>
</file>

<file path=xl/sharedStrings.xml><?xml version="1.0" encoding="utf-8"?>
<sst xmlns="http://schemas.openxmlformats.org/spreadsheetml/2006/main" count="890" uniqueCount="329">
  <si>
    <t>Project Weeks</t>
  </si>
  <si>
    <t>Base Station</t>
  </si>
  <si>
    <t>Kayleb</t>
  </si>
  <si>
    <t>Node Controller</t>
  </si>
  <si>
    <t>Eric</t>
  </si>
  <si>
    <t>Sebastien</t>
  </si>
  <si>
    <t>Braden</t>
  </si>
  <si>
    <t>Supplies</t>
  </si>
  <si>
    <t>Camosun Facilities Rental</t>
  </si>
  <si>
    <t>Planned Total</t>
  </si>
  <si>
    <t>Earned Total</t>
  </si>
  <si>
    <t>Budget Audit</t>
  </si>
  <si>
    <t>Actual Total</t>
  </si>
  <si>
    <t>Cost Performance Index (ev/ac)</t>
  </si>
  <si>
    <t>Schedule Performance Index (ev/pv)</t>
  </si>
  <si>
    <t>Cost Variance (ev-ac)</t>
  </si>
  <si>
    <t>Capstone Symposium</t>
  </si>
  <si>
    <t>URL</t>
  </si>
  <si>
    <t>CAP CER 10UF 10V Y5V 0805</t>
  </si>
  <si>
    <t>YAGEO</t>
  </si>
  <si>
    <t>CC0805ZKY5V6BB106</t>
  </si>
  <si>
    <t>DigiKey</t>
  </si>
  <si>
    <t>311-1355-1-ND</t>
  </si>
  <si>
    <t>Each</t>
  </si>
  <si>
    <t>No</t>
  </si>
  <si>
    <t>CAP0805 X5R 22UF 20% 35V</t>
  </si>
  <si>
    <t>Cal-Chip Electronics, Inc.</t>
  </si>
  <si>
    <t>GMC21X5R226M35NT</t>
  </si>
  <si>
    <t>4713-GMC21X5R226M35NTCT-ND</t>
  </si>
  <si>
    <t>CAP CER 0.1UF 50V X7R 0603</t>
  </si>
  <si>
    <t>Samsung Electro-Mechanics</t>
  </si>
  <si>
    <t>CL10B104KB8NNNC</t>
  </si>
  <si>
    <t>1276-1000-1-ND</t>
  </si>
  <si>
    <t>CAP CER 560PF 50V X7R 0805</t>
  </si>
  <si>
    <t>CC0805KRX7R9BB561</t>
  </si>
  <si>
    <t>311-1125-1-ND</t>
  </si>
  <si>
    <t>CAP CER 1UF 50V X7R 0805</t>
  </si>
  <si>
    <t>CL21B105KBFNNNG</t>
  </si>
  <si>
    <t>1276-6470-1-ND</t>
  </si>
  <si>
    <t>TVS DIODE 24VWM 70VC SOT23</t>
  </si>
  <si>
    <t>Diodes Incorporated</t>
  </si>
  <si>
    <t>DESD1CAN2SOQ-7</t>
  </si>
  <si>
    <t>DESD1CAN2SOQ-7DICT-ND</t>
  </si>
  <si>
    <t>LED GREEN CLEAR 0805 SMD</t>
  </si>
  <si>
    <t>Würth Elektronik</t>
  </si>
  <si>
    <t>150080VS75000</t>
  </si>
  <si>
    <t>732-4986-1-ND</t>
  </si>
  <si>
    <t>CONN MOD JACK R/A 8P8C</t>
  </si>
  <si>
    <t>Pulse Electronics</t>
  </si>
  <si>
    <t>E5908-0T0343-L</t>
  </si>
  <si>
    <t>553-E5908-0T0343-L-ND</t>
  </si>
  <si>
    <t>CONN HEADER SMD 4POS 1MM</t>
  </si>
  <si>
    <t>JST Sales America Inc.</t>
  </si>
  <si>
    <t>BM04B-SRSS-TBT</t>
  </si>
  <si>
    <t>455-BM04B-SRSS-TBTCT-ND</t>
  </si>
  <si>
    <t>RES 4.7K OHM 1% 1/8W 0805</t>
  </si>
  <si>
    <t>RT0805FRE134K7L</t>
  </si>
  <si>
    <t>13-RT0805FRE134K7LCT-ND</t>
  </si>
  <si>
    <t>RES SMD 100 OHM 0.1% 1/8W 0805</t>
  </si>
  <si>
    <t>RT0805BRD07100RL</t>
  </si>
  <si>
    <t>YAG1760CT-ND</t>
  </si>
  <si>
    <t>RES SMD 1.5K OHM 1% 1/8W 0805</t>
  </si>
  <si>
    <t>RT0805FRE071K5L</t>
  </si>
  <si>
    <t>13-RT0805FRE071K5LCT-ND</t>
  </si>
  <si>
    <t>RES SMD 100K OHM 1% 1/8W 0805</t>
  </si>
  <si>
    <t>RT0805FRE07100KL</t>
  </si>
  <si>
    <t>YAG3359CT-ND</t>
  </si>
  <si>
    <t>RES 10K OHM 1% 1/8W 0805</t>
  </si>
  <si>
    <t>RC0805FR-1010KL</t>
  </si>
  <si>
    <t>13-RC0805FR-1010KLCT-ND</t>
  </si>
  <si>
    <t>SWITCH TACTILE SPST-NO 0.05A 12V</t>
  </si>
  <si>
    <t>C&amp;K</t>
  </si>
  <si>
    <t>PTS 647 SN50 SMTR2 LFS</t>
  </si>
  <si>
    <t>PTS647SN50SMTR2LFSCT-ND</t>
  </si>
  <si>
    <t>DC DC CONVERTER 5V</t>
  </si>
  <si>
    <t>XP Power</t>
  </si>
  <si>
    <t>TR10S05</t>
  </si>
  <si>
    <t>1470-3971-ND</t>
  </si>
  <si>
    <t>IC TRANSCEIVER HALF 1/1 8SOIC</t>
  </si>
  <si>
    <t>Microchip Technology</t>
  </si>
  <si>
    <t>MCP2551T-I/SN</t>
  </si>
  <si>
    <t>MCP2551T-I/SNCT-ND</t>
  </si>
  <si>
    <t>IC REG LINEAR 3.3V 600MA SOT25</t>
  </si>
  <si>
    <t>AP2112K-3.3TRG1</t>
  </si>
  <si>
    <t>AP2112K-3.3TRG1DICT-ND</t>
  </si>
  <si>
    <t>RF TXRX MOD BT WIFI PCB TH SMD</t>
  </si>
  <si>
    <t>Espressif Systems</t>
  </si>
  <si>
    <t>ESP32-C3-WROOM-02-N4</t>
  </si>
  <si>
    <t>1965-ESP32-C3-WROOM-02-N4CT-ND</t>
  </si>
  <si>
    <t>Shop Stock</t>
  </si>
  <si>
    <t>Pin</t>
  </si>
  <si>
    <t>CC0603KRX7R9BB104</t>
  </si>
  <si>
    <t>CAP CER 560PF 50V X7R 1206</t>
  </si>
  <si>
    <t>CC1206KRX7R9BB561</t>
  </si>
  <si>
    <t>RF TXRX MODULE WIFI PCB TRACE</t>
  </si>
  <si>
    <t>ESP32-S3-WROOM-1-N8R2</t>
  </si>
  <si>
    <t>MICRO SD CARD CONNECTOR, 9 POSIT</t>
  </si>
  <si>
    <t>Same Sky</t>
  </si>
  <si>
    <t>MSD-4-A</t>
  </si>
  <si>
    <t>CONN PWR JACK 2.5X5.5MM SOLDER</t>
  </si>
  <si>
    <t>694108301002</t>
  </si>
  <si>
    <t>RES SMD 0 OHM JUMPER 1/10W 0603</t>
  </si>
  <si>
    <t>Panasonic Electronic Components</t>
  </si>
  <si>
    <t>ERJ-3GEY0R00V</t>
  </si>
  <si>
    <t>RES ARRAY 8 RES 10K OHM 1206</t>
  </si>
  <si>
    <t>CTS Resistor Products</t>
  </si>
  <si>
    <t>746X101103JP</t>
  </si>
  <si>
    <t>RES 0.05 OHM 1% 2W 2512</t>
  </si>
  <si>
    <t>Stackpole Electronics Inc</t>
  </si>
  <si>
    <t>CSRN2512FK50L0</t>
  </si>
  <si>
    <t>IC REG LINEAR 3.3V 1A SOT223</t>
  </si>
  <si>
    <t>AZ1117IH-3.3TRG1</t>
  </si>
  <si>
    <t>IC PWR SWITCH N-CHAN 1:1 TO252-5</t>
  </si>
  <si>
    <t>Infineon Technologies</t>
  </si>
  <si>
    <t>ITS428L2ATMA1</t>
  </si>
  <si>
    <t>IC CURRENT MONITOR 1% SOT23-8</t>
  </si>
  <si>
    <t>Texas Instruments</t>
  </si>
  <si>
    <t>INA219AIDCNR</t>
  </si>
  <si>
    <t>CMI-9650C-030</t>
  </si>
  <si>
    <t>Digikey</t>
  </si>
  <si>
    <t>102-3740-ND</t>
  </si>
  <si>
    <t>https://www.digikey.ca/en/products/detail/same-sky/CMI-9650C-030/6012411</t>
  </si>
  <si>
    <t>SWITCH PUSH SPST-NO 3A 125V</t>
  </si>
  <si>
    <t>E-Switch</t>
  </si>
  <si>
    <t>PS1024ABLK</t>
  </si>
  <si>
    <t>EG2011-ND</t>
  </si>
  <si>
    <t>https://www.digikey.ca/short/jtbwwthp</t>
  </si>
  <si>
    <t>AliExpress</t>
  </si>
  <si>
    <t>https://www.aliexpress.com/item/1005007119301520.html?spm=a2g0o.productlist.main.27.77dbtPY6tPY61Q&amp;algo_pvid=25dc966e-058f-42b1-9eec-fda56f3feeb8&amp;algo_exp_id=25dc966e-058f-42b1-9eec-fda56f3feeb8-13&amp;pdp_npi=4%40dis%21CAD%214.89%214.89%21%21%2124.80%2124.80%21%402101e62517274636100991041e3fae%2112000039464753243%21sea%21CA%213264091378%21X&amp;curPageLogUid=CLZF6sh729Es&amp;utparam-url=scene%3Asearch%7Cquery_from%3A</t>
  </si>
  <si>
    <t>SanDisk Industrial 8GB Micro SD</t>
  </si>
  <si>
    <t>SanDisk</t>
  </si>
  <si>
    <t>SDSDQAF3-008G-I</t>
  </si>
  <si>
    <t>Amazon</t>
  </si>
  <si>
    <t>https://a.co/d/76Hk7w9</t>
  </si>
  <si>
    <t>WS2812B Neo-Pixel</t>
  </si>
  <si>
    <t>BTF-LIGHTING</t>
  </si>
  <si>
    <t>Filement - Black PLA</t>
  </si>
  <si>
    <t>Grams</t>
  </si>
  <si>
    <t>Home Depot</t>
  </si>
  <si>
    <t>https://a.co/d/08Xsi2SN</t>
  </si>
  <si>
    <t>Andrew Sheret</t>
  </si>
  <si>
    <t>Canadain Tire</t>
  </si>
  <si>
    <t>Yes</t>
  </si>
  <si>
    <t>ReefSuppy</t>
  </si>
  <si>
    <t>Industrial Plastics</t>
  </si>
  <si>
    <t>ft^2</t>
  </si>
  <si>
    <t>MEAN WELL</t>
  </si>
  <si>
    <t>LPF-25D-36</t>
  </si>
  <si>
    <t>Mouser</t>
  </si>
  <si>
    <t>709-LPF25D-36</t>
  </si>
  <si>
    <t>5/22/2024</t>
  </si>
  <si>
    <t>https://www.mouser.ca/ProductDetail/709-LPF25D-36</t>
  </si>
  <si>
    <t>LPF-40D-36</t>
  </si>
  <si>
    <t>709-LPF40D-36</t>
  </si>
  <si>
    <t>https://www.mouser.ca/ProductDetail/709-LPF40D-36</t>
  </si>
  <si>
    <t>Hammond Manufacturing</t>
  </si>
  <si>
    <t>1554QGY</t>
  </si>
  <si>
    <t>164-1554QGY-ND</t>
  </si>
  <si>
    <t>6/18/2024</t>
  </si>
  <si>
    <t>https://www.digikey.ca/en/products/detail/hammond-manufacturing/1554QGY/10481634?s=N4IgTCBcDaIIwDYAsBaOBWdSCKBxAmigHIAiIAugL5A</t>
  </si>
  <si>
    <t>PiShop</t>
  </si>
  <si>
    <t>https://www.pishop.ca/product/2-channel-relay-module-for-arduino-raspberry-pi-5v/</t>
  </si>
  <si>
    <t>Enclosure estimate</t>
  </si>
  <si>
    <t>https://www.amazon.ca/dp/B077W1NVLM?ref=ppx_yo2ov_dt_b_fed_asin_title</t>
  </si>
  <si>
    <t>South Wire</t>
  </si>
  <si>
    <t>MSB4G</t>
  </si>
  <si>
    <t>https://www.amazon.ca/dp/B00H8NUVO2?ref=ppx_yo2ov_dt_b_fed_asin_title</t>
  </si>
  <si>
    <t>Leviton</t>
  </si>
  <si>
    <t>T53325-W</t>
  </si>
  <si>
    <t>SS</t>
  </si>
  <si>
    <t>https://www.amazon.ca/dp/B06XPFB6ND?ref=ppx_yo2ov_dt_b_fed_asin_title</t>
  </si>
  <si>
    <t>https://www.amazon.ca/dp/B07X3393QT?ref=ppx_yo2ov_dt_b_fed_asin_title</t>
  </si>
  <si>
    <t xml:space="preserve"> Non-invasive Split Core </t>
  </si>
  <si>
    <t>https://www.amazon.ca/dp/B0CTG4W5SN?ref=ppx_yo2ov_dt_b_fed_asin_title</t>
  </si>
  <si>
    <t>16-Bit i2C High Precision ADC Converter Development  Board</t>
  </si>
  <si>
    <t>https://www.amazon.ca/gp/product/B000FA3A3Y/ref=ppx_yo_dt_b_asin_title_o00_s00?ie=UTF8&amp;th=1</t>
  </si>
  <si>
    <t>Atlas Scientific</t>
  </si>
  <si>
    <t>KIT-101P</t>
  </si>
  <si>
    <t>Robot Shop</t>
  </si>
  <si>
    <t>RB-Atl-02</t>
  </si>
  <si>
    <t>Camosun</t>
  </si>
  <si>
    <t>https://ca.robotshop.com/products/atlas-scientific-ph-sensor-kit</t>
  </si>
  <si>
    <t>ITEM</t>
  </si>
  <si>
    <t>% DONE</t>
  </si>
  <si>
    <t>QUANTITY</t>
  </si>
  <si>
    <t>MEMBER</t>
  </si>
  <si>
    <t>HOURLY</t>
  </si>
  <si>
    <t>WEEKLY</t>
  </si>
  <si>
    <t>PROJECT TOTAL</t>
  </si>
  <si>
    <t>HRS/WK</t>
  </si>
  <si>
    <t>PAYEES</t>
  </si>
  <si>
    <t>COST/WK</t>
  </si>
  <si>
    <t>BILL OF MATERIALS (BOM)</t>
  </si>
  <si>
    <t>RENT/UTILITIES (R/U)</t>
  </si>
  <si>
    <t>MILESTONE</t>
  </si>
  <si>
    <t>DATE</t>
  </si>
  <si>
    <t>WEEK</t>
  </si>
  <si>
    <t>EST. $—BOM</t>
  </si>
  <si>
    <t>EST. $—LBR/RENT</t>
  </si>
  <si>
    <t>EST. $—TOTAL</t>
  </si>
  <si>
    <t>TRUE $—BOM</t>
  </si>
  <si>
    <t>TRUE $—LBR/RENT</t>
  </si>
  <si>
    <t>LABOUR (LBR) EXPENSES</t>
  </si>
  <si>
    <t>TOTAL—$/ITEM</t>
  </si>
  <si>
    <t>$ (EACH)</t>
  </si>
  <si>
    <t xml:space="preserve">TOTAL—BOM: </t>
  </si>
  <si>
    <t xml:space="preserve">TOTAL—LBR: </t>
  </si>
  <si>
    <t>TOTAL—R/U:</t>
  </si>
  <si>
    <t>DEVICE—Lighting</t>
  </si>
  <si>
    <t>DEVICE—TempHum</t>
  </si>
  <si>
    <t>DEVICE—AC Outlet</t>
  </si>
  <si>
    <t>DEVICE—Leak</t>
  </si>
  <si>
    <t>DEVICE—PH</t>
  </si>
  <si>
    <t>Node Controllers—BUILT</t>
  </si>
  <si>
    <t>Base Stations—BUILT</t>
  </si>
  <si>
    <t>Hardware Dev—COMPLETE</t>
  </si>
  <si>
    <t>App Programing—COMPLETE</t>
  </si>
  <si>
    <t>Functional Demo</t>
  </si>
  <si>
    <t>Tank—SET UP</t>
  </si>
  <si>
    <t>MALE HEADER PINS</t>
  </si>
  <si>
    <t>PURCHASED PRE-PROJECT</t>
  </si>
  <si>
    <t>PAYEE</t>
  </si>
  <si>
    <t>DATE REC'D</t>
  </si>
  <si>
    <t>$—TOTAL</t>
  </si>
  <si>
    <t>$—SHIPPING</t>
  </si>
  <si>
    <t>PART NAME</t>
  </si>
  <si>
    <t>MANUFACTURER</t>
  </si>
  <si>
    <t>MANUFACTURER PN</t>
  </si>
  <si>
    <t>SUPPLIER</t>
  </si>
  <si>
    <t>SUPPLIER PN</t>
  </si>
  <si>
    <t>#—TOTAL</t>
  </si>
  <si>
    <t>#/UNIT</t>
  </si>
  <si>
    <t>$/UNIT</t>
  </si>
  <si>
    <t>1.3" TFT Colorful Display Module SPI</t>
  </si>
  <si>
    <t>Buzzer—Magnetic 3v 9.60mm Custom</t>
  </si>
  <si>
    <t>BUZZER CMI -9650C-030</t>
  </si>
  <si>
    <t>1''X1''X8' ALUMINIUM SQUARE  </t>
  </si>
  <si>
    <t>SCREWS </t>
  </si>
  <si>
    <t>0.5'' ALUMINIUM ANGLE BLACK </t>
  </si>
  <si>
    <t>MONO CLEAR SILICON </t>
  </si>
  <si>
    <t>24 AWG SILICONE ELECTRICAL WIRE CABLE 7 COLORS </t>
  </si>
  <si>
    <t>SUNSUN CIRCULATING PUMP </t>
  </si>
  <si>
    <t>FILEMENT - BLACK PLA </t>
  </si>
  <si>
    <t>2" ADPT SKF PVC FITTING </t>
  </si>
  <si>
    <t>1 1/2" X 1"  SPGXF PVC BUSHING </t>
  </si>
  <si>
    <t>TUBE 3/4" ID X 1" OD VINYL </t>
  </si>
  <si>
    <t>3/4" X 1/2" PVC 90 SKF </t>
  </si>
  <si>
    <t>1/2" PVC 90 FXF </t>
  </si>
  <si>
    <t>1" X 3/4" PVC BUSH MXF </t>
  </si>
  <si>
    <t>1/2" X CLOSE SCH80 PVC NIPPLE </t>
  </si>
  <si>
    <t>1" X CLOSE SCH80 PVC NIPPLE </t>
  </si>
  <si>
    <t>3/4" PXF PVC ADPT </t>
  </si>
  <si>
    <t>1-1/2" FLOW SENSOR </t>
  </si>
  <si>
    <t>3/4" FLOW SENSOR </t>
  </si>
  <si>
    <t>CLEAR PLASTIC JARS </t>
  </si>
  <si>
    <t>1" BULKHEAD FITTING </t>
  </si>
  <si>
    <t>YOGA MAT </t>
  </si>
  <si>
    <t>TANK - DISPLAY </t>
  </si>
  <si>
    <t>TANK - SUMP </t>
  </si>
  <si>
    <t>AW20 PUMP </t>
  </si>
  <si>
    <t>PLEXI GLASS - CLEAR </t>
  </si>
  <si>
    <t>PLEXI GLASS - TINTED </t>
  </si>
  <si>
    <t>Enclosure Estimate</t>
  </si>
  <si>
    <t>LED POWER SUPPLIES 25.2W 36V 0.7A DIMMING LED PS IP67 </t>
  </si>
  <si>
    <t>LED POWER SUPPLIES 40.32W 36V 1.12A DIMMING FUNCTION </t>
  </si>
  <si>
    <t>BOX PC GRAY 5.51"L X 5.51"W </t>
  </si>
  <si>
    <t>20X20X1MM THERMAL PADS </t>
  </si>
  <si>
    <t>LED WHITE </t>
  </si>
  <si>
    <t>LED BLUE </t>
  </si>
  <si>
    <t>2N2222 </t>
  </si>
  <si>
    <t>10V ZENER DIODE </t>
  </si>
  <si>
    <t>100K ¼ RESISTOR </t>
  </si>
  <si>
    <t>10K ¼ RESISTOR  </t>
  </si>
  <si>
    <t>2-CHANNEL RELAY MODULE FOR ARDUINO &amp; RASPBERRY PI—5V </t>
  </si>
  <si>
    <t>POWER CORD </t>
  </si>
  <si>
    <t>FILAMENT—BLACK PLA </t>
  </si>
  <si>
    <t>NOTES/DESCRIPTION</t>
  </si>
  <si>
    <t>SHT30D TEMP HUMIDITY </t>
  </si>
  <si>
    <t>DS18B20 TEMP PROBE </t>
  </si>
  <si>
    <t>4 PIN JST(PAIR) </t>
  </si>
  <si>
    <t>3 PIN JST(PAIR) </t>
  </si>
  <si>
    <t>HIGH POWER 2-CHANNEL RELAY </t>
  </si>
  <si>
    <t>4 GANG PLASTIC DEVICE BOX </t>
  </si>
  <si>
    <t>TAMPER RESISTANT RECEPTACLES </t>
  </si>
  <si>
    <t>GFCI PLUG ASSEMBLY </t>
  </si>
  <si>
    <t>SCT013-015 15A /1V </t>
  </si>
  <si>
    <t>ADS1115  </t>
  </si>
  <si>
    <t>4 GANG COVER PLATE </t>
  </si>
  <si>
    <t>1 GANG FILLER PLATE </t>
  </si>
  <si>
    <t>cm^2</t>
  </si>
  <si>
    <t>WATER LEVEL SENSOR </t>
  </si>
  <si>
    <t>FLOAT SWITCH </t>
  </si>
  <si>
    <t>2 PIN JST(PAIR) </t>
  </si>
  <si>
    <t>ATLAS SCIENTIFIC PH SENSOR KIT </t>
  </si>
  <si>
    <t>6PCS SMALL BREADBORDS </t>
  </si>
  <si>
    <t xml:space="preserve">TANK—Mechanical </t>
  </si>
  <si>
    <t>TRUE $—TOTAL</t>
  </si>
  <si>
    <t>DELTA</t>
  </si>
  <si>
    <t>Total</t>
  </si>
  <si>
    <t>LIVE AUDIT</t>
  </si>
  <si>
    <t>Excel Contractor (Jennifer)</t>
  </si>
  <si>
    <t>MILESTONES</t>
  </si>
  <si>
    <t>MEASURE</t>
  </si>
  <si>
    <t>VALUE</t>
  </si>
  <si>
    <t>TABLE OF CONTENTS</t>
  </si>
  <si>
    <t>Main Budget</t>
  </si>
  <si>
    <t>TANK—Mechanical</t>
  </si>
  <si>
    <t>Potential Items</t>
  </si>
  <si>
    <t>--data validation--</t>
  </si>
  <si>
    <t>Return to Table of Contents</t>
  </si>
  <si>
    <t>Parts from the Garage</t>
  </si>
  <si>
    <t>New Parts Budget</t>
  </si>
  <si>
    <t>EXPENSES</t>
  </si>
  <si>
    <t>REVENUE</t>
  </si>
  <si>
    <t>BOM</t>
  </si>
  <si>
    <t>LBR</t>
  </si>
  <si>
    <t>Rent</t>
  </si>
  <si>
    <t>New Parts</t>
  </si>
  <si>
    <t>Camosun College</t>
  </si>
  <si>
    <t>Rent Budget</t>
  </si>
  <si>
    <t>Labour Budet</t>
  </si>
  <si>
    <t>Parts from the Garage—Est. Value</t>
  </si>
  <si>
    <t>SOURCE</t>
  </si>
  <si>
    <t xml:space="preserve">TOTAL:  </t>
  </si>
  <si>
    <t>Audit (Current) Week</t>
  </si>
  <si>
    <t>Remaining Funds</t>
  </si>
  <si>
    <t>TOTAL PROJECTED COSTS</t>
  </si>
  <si>
    <t>CURRENT TOTAL COSTS</t>
  </si>
  <si>
    <t>REMAINING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</si>
</sst>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;[Red]0"/>
    <numFmt numFmtId="166" formatCode="&quot;$&quot;#,##0.00"/>
    <numFmt numFmtId="167" formatCode="&quot;$&quot;#,##0.000"/>
  </numFmts>
  <fonts count="1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BC Sans"/>
      <family val="3"/>
    </font>
    <font>
      <sz val="12"/>
      <color theme="0"/>
      <name val="BC Sans"/>
      <family val="3"/>
    </font>
    <font>
      <sz val="12"/>
      <name val="BC Sans"/>
      <family val="3"/>
    </font>
    <font>
      <sz val="12"/>
      <color rgb="FF0000FF"/>
      <name val="BC Sans"/>
      <family val="3"/>
    </font>
    <font>
      <u/>
      <sz val="12"/>
      <color rgb="FF0000FF"/>
      <name val="BC Sans"/>
      <family val="3"/>
    </font>
    <font>
      <sz val="12"/>
      <name val="Aptos"/>
      <family val="2"/>
    </font>
    <font>
      <sz val="11"/>
      <color theme="1"/>
      <name val="BC Sans"/>
      <family val="3"/>
    </font>
    <font>
      <b/>
      <sz val="14"/>
      <color theme="0"/>
      <name val="BC Sans"/>
      <family val="3"/>
    </font>
    <font>
      <u/>
      <sz val="12"/>
      <color rgb="FF0000FF"/>
      <name val="Aptos Narrow"/>
      <family val="2"/>
      <scheme val="minor"/>
    </font>
    <font>
      <b/>
      <sz val="12"/>
      <color theme="1"/>
      <name val="BC Sans"/>
      <family val="3"/>
    </font>
    <font>
      <b/>
      <sz val="16"/>
      <color theme="0"/>
      <name val="BC Sans"/>
    </font>
    <font>
      <b/>
      <sz val="12"/>
      <color theme="0"/>
      <name val="BC Sans"/>
    </font>
  </fonts>
  <fills count="5">
    <fill>
      <patternFill patternType="none"/>
    </fill>
    <fill>
      <patternFill patternType="gray125"/>
    </fill>
    <fill>
      <patternFill patternType="solid">
        <fgColor rgb="FF0017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71AB2"/>
        <bgColor indexed="64"/>
      </patternFill>
    </fill>
  </fills>
  <borders count="36">
    <border>
      <left/>
      <right/>
      <top/>
      <bottom/>
      <diagonal/>
    </border>
    <border>
      <left style="medium">
        <color rgb="FFA71AB2"/>
      </left>
      <right/>
      <top style="medium">
        <color rgb="FFA71AB2"/>
      </top>
      <bottom style="thin">
        <color rgb="FFA71AB2"/>
      </bottom>
      <diagonal/>
    </border>
    <border>
      <left/>
      <right/>
      <top style="medium">
        <color rgb="FFA71AB2"/>
      </top>
      <bottom style="thin">
        <color rgb="FFA71AB2"/>
      </bottom>
      <diagonal/>
    </border>
    <border>
      <left/>
      <right style="medium">
        <color rgb="FFA71AB2"/>
      </right>
      <top style="medium">
        <color rgb="FFA71AB2"/>
      </top>
      <bottom style="thin">
        <color rgb="FFA71AB2"/>
      </bottom>
      <diagonal/>
    </border>
    <border>
      <left/>
      <right style="thin">
        <color rgb="FFA71AB2"/>
      </right>
      <top/>
      <bottom/>
      <diagonal/>
    </border>
    <border>
      <left style="thin">
        <color rgb="FFA71AB2"/>
      </left>
      <right/>
      <top/>
      <bottom/>
      <diagonal/>
    </border>
    <border>
      <left style="thick">
        <color rgb="FFA71AB2"/>
      </left>
      <right/>
      <top/>
      <bottom/>
      <diagonal/>
    </border>
    <border>
      <left/>
      <right style="thick">
        <color rgb="FFA71AB2"/>
      </right>
      <top/>
      <bottom/>
      <diagonal/>
    </border>
    <border>
      <left style="thick">
        <color rgb="FFA71AB2"/>
      </left>
      <right/>
      <top style="medium">
        <color rgb="FFA71AB2"/>
      </top>
      <bottom style="thin">
        <color rgb="FFA71AB2"/>
      </bottom>
      <diagonal/>
    </border>
    <border>
      <left style="thick">
        <color rgb="FFA71AB2"/>
      </left>
      <right/>
      <top/>
      <bottom style="thick">
        <color rgb="FFA71AB2"/>
      </bottom>
      <diagonal/>
    </border>
    <border>
      <left/>
      <right/>
      <top/>
      <bottom style="thick">
        <color rgb="FFA71AB2"/>
      </bottom>
      <diagonal/>
    </border>
    <border>
      <left/>
      <right style="medium">
        <color rgb="FFA71AB2"/>
      </right>
      <top style="medium">
        <color rgb="FFA71AB2"/>
      </top>
      <bottom/>
      <diagonal/>
    </border>
    <border>
      <left style="medium">
        <color rgb="FFA71AB2"/>
      </left>
      <right/>
      <top/>
      <bottom/>
      <diagonal/>
    </border>
    <border>
      <left/>
      <right style="medium">
        <color rgb="FFA71AB2"/>
      </right>
      <top/>
      <bottom/>
      <diagonal/>
    </border>
    <border>
      <left style="medium">
        <color rgb="FFA71AB2"/>
      </left>
      <right/>
      <top/>
      <bottom style="dashed">
        <color rgb="FFA71AB2"/>
      </bottom>
      <diagonal/>
    </border>
    <border>
      <left/>
      <right style="medium">
        <color rgb="FFA71AB2"/>
      </right>
      <top/>
      <bottom style="dashed">
        <color rgb="FFA71AB2"/>
      </bottom>
      <diagonal/>
    </border>
    <border>
      <left/>
      <right style="medium">
        <color rgb="FFA71AB2"/>
      </right>
      <top/>
      <bottom style="medium">
        <color rgb="FFA71AB2"/>
      </bottom>
      <diagonal/>
    </border>
    <border>
      <left style="thick">
        <color rgb="FF0017AF"/>
      </left>
      <right style="double">
        <color rgb="FF0017AF"/>
      </right>
      <top style="thick">
        <color rgb="FF0017AF"/>
      </top>
      <bottom style="thin">
        <color rgb="FF0017AF"/>
      </bottom>
      <diagonal/>
    </border>
    <border>
      <left style="double">
        <color rgb="FF0017AF"/>
      </left>
      <right style="double">
        <color rgb="FF0017AF"/>
      </right>
      <top style="thick">
        <color rgb="FF0017AF"/>
      </top>
      <bottom style="thin">
        <color rgb="FF0017AF"/>
      </bottom>
      <diagonal/>
    </border>
    <border>
      <left style="thick">
        <color rgb="FF0017AF"/>
      </left>
      <right style="double">
        <color rgb="FF0017AF"/>
      </right>
      <top style="thin">
        <color rgb="FF0017AF"/>
      </top>
      <bottom style="thin">
        <color rgb="FF0017AF"/>
      </bottom>
      <diagonal/>
    </border>
    <border>
      <left style="double">
        <color rgb="FF0017AF"/>
      </left>
      <right style="double">
        <color rgb="FF0017AF"/>
      </right>
      <top style="thin">
        <color rgb="FF0017AF"/>
      </top>
      <bottom style="thin">
        <color rgb="FF0017AF"/>
      </bottom>
      <diagonal/>
    </border>
    <border>
      <left style="medium">
        <color rgb="FFA71AB2"/>
      </left>
      <right/>
      <top style="dotted">
        <color rgb="FFA71AB2"/>
      </top>
      <bottom style="thin">
        <color rgb="FFA71AB2"/>
      </bottom>
      <diagonal/>
    </border>
    <border>
      <left/>
      <right style="medium">
        <color rgb="FFA71AB2"/>
      </right>
      <top style="dotted">
        <color rgb="FFA71AB2"/>
      </top>
      <bottom style="thin">
        <color rgb="FFA71AB2"/>
      </bottom>
      <diagonal/>
    </border>
    <border>
      <left style="thick">
        <color rgb="FFA71AB2"/>
      </left>
      <right/>
      <top style="thick">
        <color rgb="FFA71AB2"/>
      </top>
      <bottom style="thin">
        <color rgb="FFA71AB2"/>
      </bottom>
      <diagonal/>
    </border>
    <border>
      <left/>
      <right/>
      <top style="thick">
        <color rgb="FFA71AB2"/>
      </top>
      <bottom style="thin">
        <color rgb="FFA71AB2"/>
      </bottom>
      <diagonal/>
    </border>
    <border>
      <left/>
      <right style="medium">
        <color rgb="FFA71AB2"/>
      </right>
      <top style="thick">
        <color rgb="FFA71AB2"/>
      </top>
      <bottom style="thin">
        <color rgb="FFA71AB2"/>
      </bottom>
      <diagonal/>
    </border>
    <border>
      <left/>
      <right/>
      <top style="thick">
        <color rgb="FFA71AB2"/>
      </top>
      <bottom/>
      <diagonal/>
    </border>
    <border>
      <left style="medium">
        <color rgb="FFA71AB2"/>
      </left>
      <right/>
      <top style="thick">
        <color rgb="FFA71AB2"/>
      </top>
      <bottom style="thin">
        <color rgb="FFA71AB2"/>
      </bottom>
      <diagonal/>
    </border>
    <border>
      <left/>
      <right style="thick">
        <color rgb="FFA71AB2"/>
      </right>
      <top style="thick">
        <color rgb="FFA71AB2"/>
      </top>
      <bottom style="thin">
        <color rgb="FFA71AB2"/>
      </bottom>
      <diagonal/>
    </border>
    <border>
      <left style="thick">
        <color rgb="FFA71AB2"/>
      </left>
      <right/>
      <top style="medium">
        <color rgb="FFA71AB2"/>
      </top>
      <bottom/>
      <diagonal/>
    </border>
    <border>
      <left style="double">
        <color rgb="FF0017AF"/>
      </left>
      <right style="thick">
        <color rgb="FFA71AB2"/>
      </right>
      <top style="thick">
        <color rgb="FF0017AF"/>
      </top>
      <bottom style="thin">
        <color rgb="FF0017AF"/>
      </bottom>
      <diagonal/>
    </border>
    <border>
      <left style="double">
        <color rgb="FF0017AF"/>
      </left>
      <right style="thick">
        <color rgb="FFA71AB2"/>
      </right>
      <top style="thin">
        <color rgb="FF0017AF"/>
      </top>
      <bottom style="thin">
        <color rgb="FF0017AF"/>
      </bottom>
      <diagonal/>
    </border>
    <border>
      <left style="thick">
        <color rgb="FFA71AB2"/>
      </left>
      <right/>
      <top/>
      <bottom style="medium">
        <color rgb="FFA71AB2"/>
      </bottom>
      <diagonal/>
    </border>
    <border>
      <left style="thick">
        <color rgb="FF0017AF"/>
      </left>
      <right style="double">
        <color rgb="FF0017AF"/>
      </right>
      <top style="thin">
        <color rgb="FF0017AF"/>
      </top>
      <bottom style="thick">
        <color rgb="FFA71AB2"/>
      </bottom>
      <diagonal/>
    </border>
    <border>
      <left style="double">
        <color rgb="FF0017AF"/>
      </left>
      <right style="double">
        <color rgb="FF0017AF"/>
      </right>
      <top style="thin">
        <color rgb="FF0017AF"/>
      </top>
      <bottom style="thick">
        <color rgb="FFA71AB2"/>
      </bottom>
      <diagonal/>
    </border>
    <border>
      <left style="double">
        <color rgb="FF0017AF"/>
      </left>
      <right style="thick">
        <color rgb="FFA71AB2"/>
      </right>
      <top style="thin">
        <color rgb="FF0017AF"/>
      </top>
      <bottom style="thick">
        <color rgb="FFA71A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1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7" fillId="0" borderId="0" xfId="5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7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3" borderId="0" xfId="0" applyNumberFormat="1" applyFont="1" applyFill="1" applyAlignment="1">
      <alignment vertical="center"/>
    </xf>
    <xf numFmtId="166" fontId="7" fillId="3" borderId="0" xfId="0" applyNumberFormat="1" applyFont="1" applyFill="1" applyAlignment="1">
      <alignment vertical="center"/>
    </xf>
    <xf numFmtId="14" fontId="7" fillId="3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1" fillId="0" borderId="0" xfId="1" applyNumberFormat="1" applyFont="1" applyFill="1" applyBorder="1" applyAlignment="1">
      <alignment vertical="center"/>
    </xf>
    <xf numFmtId="49" fontId="10" fillId="0" borderId="0" xfId="0" applyNumberFormat="1" applyFont="1"/>
    <xf numFmtId="49" fontId="11" fillId="0" borderId="0" xfId="1" applyNumberFormat="1" applyFont="1" applyFill="1" applyBorder="1" applyAlignment="1"/>
    <xf numFmtId="49" fontId="11" fillId="0" borderId="0" xfId="1" applyNumberFormat="1" applyFont="1" applyFill="1" applyBorder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49" fontId="11" fillId="0" borderId="0" xfId="1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8" fontId="7" fillId="3" borderId="0" xfId="0" applyNumberFormat="1" applyFont="1" applyFill="1" applyAlignment="1">
      <alignment vertical="center"/>
    </xf>
    <xf numFmtId="164" fontId="7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 wrapText="1"/>
    </xf>
    <xf numFmtId="49" fontId="7" fillId="3" borderId="0" xfId="0" applyNumberFormat="1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6" fontId="7" fillId="3" borderId="0" xfId="0" applyNumberFormat="1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7" fillId="0" borderId="7" xfId="5" applyNumberFormat="1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7" fillId="3" borderId="10" xfId="0" applyFont="1" applyFill="1" applyBorder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5" fillId="3" borderId="0" xfId="1" applyFont="1" applyFill="1" applyAlignment="1">
      <alignment horizontal="left" vertical="center" indent="1"/>
    </xf>
    <xf numFmtId="0" fontId="13" fillId="3" borderId="0" xfId="0" applyFont="1" applyFill="1" applyAlignment="1">
      <alignment vertical="center"/>
    </xf>
    <xf numFmtId="0" fontId="15" fillId="3" borderId="0" xfId="1" quotePrefix="1" applyFont="1" applyFill="1" applyAlignment="1">
      <alignment horizontal="left" vertical="center" indent="1"/>
    </xf>
    <xf numFmtId="0" fontId="7" fillId="3" borderId="0" xfId="0" applyFont="1" applyFill="1" applyAlignment="1">
      <alignment horizontal="left" vertical="center"/>
    </xf>
    <xf numFmtId="0" fontId="11" fillId="3" borderId="0" xfId="1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8" fillId="2" borderId="0" xfId="5" applyNumberFormat="1" applyFont="1" applyFill="1" applyBorder="1" applyAlignment="1">
      <alignment horizontal="center" vertical="center"/>
    </xf>
    <xf numFmtId="15" fontId="7" fillId="0" borderId="0" xfId="0" applyNumberFormat="1" applyFont="1" applyAlignment="1">
      <alignment horizontal="center" vertical="center"/>
    </xf>
    <xf numFmtId="0" fontId="7" fillId="0" borderId="0" xfId="0" applyFont="1"/>
    <xf numFmtId="164" fontId="7" fillId="0" borderId="0" xfId="0" applyNumberFormat="1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44" fontId="7" fillId="0" borderId="13" xfId="0" applyNumberFormat="1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44" fontId="7" fillId="0" borderId="15" xfId="0" applyNumberFormat="1" applyFont="1" applyBorder="1" applyAlignment="1">
      <alignment vertical="center"/>
    </xf>
    <xf numFmtId="2" fontId="7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0" fillId="0" borderId="13" xfId="0" applyNumberFormat="1" applyBorder="1" applyAlignment="1">
      <alignment vertical="center"/>
    </xf>
    <xf numFmtId="44" fontId="0" fillId="0" borderId="13" xfId="0" applyNumberFormat="1" applyBorder="1"/>
    <xf numFmtId="164" fontId="0" fillId="0" borderId="13" xfId="0" applyNumberFormat="1" applyBorder="1" applyAlignment="1">
      <alignment vertical="center"/>
    </xf>
    <xf numFmtId="164" fontId="0" fillId="0" borderId="16" xfId="0" applyNumberFormat="1" applyBorder="1"/>
    <xf numFmtId="0" fontId="7" fillId="0" borderId="21" xfId="0" quotePrefix="1" applyFont="1" applyBorder="1" applyAlignment="1">
      <alignment horizontal="left" vertical="center"/>
    </xf>
    <xf numFmtId="0" fontId="7" fillId="0" borderId="22" xfId="0" applyFont="1" applyBorder="1" applyAlignment="1">
      <alignment horizontal="center" vertical="center"/>
    </xf>
    <xf numFmtId="0" fontId="7" fillId="3" borderId="26" xfId="0" applyFont="1" applyFill="1" applyBorder="1" applyAlignment="1">
      <alignment vertical="center"/>
    </xf>
    <xf numFmtId="1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6" xfId="0" quotePrefix="1" applyBorder="1" applyAlignment="1">
      <alignment horizontal="right"/>
    </xf>
    <xf numFmtId="0" fontId="0" fillId="0" borderId="32" xfId="0" quotePrefix="1" applyBorder="1" applyAlignment="1">
      <alignment horizontal="right"/>
    </xf>
    <xf numFmtId="0" fontId="18" fillId="2" borderId="9" xfId="0" applyFont="1" applyFill="1" applyBorder="1" applyAlignment="1">
      <alignment horizontal="right" vertical="center"/>
    </xf>
    <xf numFmtId="44" fontId="8" fillId="2" borderId="10" xfId="0" applyNumberFormat="1" applyFont="1" applyFill="1" applyBorder="1" applyAlignment="1">
      <alignment vertical="center"/>
    </xf>
    <xf numFmtId="0" fontId="17" fillId="4" borderId="17" xfId="0" quotePrefix="1" applyFont="1" applyFill="1" applyBorder="1" applyAlignment="1">
      <alignment horizontal="center" vertical="center"/>
    </xf>
    <xf numFmtId="0" fontId="17" fillId="4" borderId="18" xfId="0" quotePrefix="1" applyFont="1" applyFill="1" applyBorder="1" applyAlignment="1">
      <alignment horizontal="center" vertical="center"/>
    </xf>
    <xf numFmtId="0" fontId="17" fillId="4" borderId="19" xfId="0" quotePrefix="1" applyFont="1" applyFill="1" applyBorder="1" applyAlignment="1">
      <alignment horizontal="center" vertical="center"/>
    </xf>
    <xf numFmtId="0" fontId="17" fillId="4" borderId="20" xfId="0" quotePrefix="1" applyFont="1" applyFill="1" applyBorder="1" applyAlignment="1">
      <alignment horizontal="center" vertical="center"/>
    </xf>
    <xf numFmtId="164" fontId="17" fillId="4" borderId="18" xfId="0" applyNumberFormat="1" applyFont="1" applyFill="1" applyBorder="1" applyAlignment="1">
      <alignment horizontal="center" vertical="center"/>
    </xf>
    <xf numFmtId="164" fontId="17" fillId="4" borderId="30" xfId="0" applyNumberFormat="1" applyFont="1" applyFill="1" applyBorder="1" applyAlignment="1">
      <alignment horizontal="center" vertical="center"/>
    </xf>
    <xf numFmtId="164" fontId="17" fillId="4" borderId="20" xfId="0" applyNumberFormat="1" applyFont="1" applyFill="1" applyBorder="1" applyAlignment="1">
      <alignment horizontal="center" vertical="center"/>
    </xf>
    <xf numFmtId="164" fontId="17" fillId="4" borderId="31" xfId="0" applyNumberFormat="1" applyFont="1" applyFill="1" applyBorder="1" applyAlignment="1">
      <alignment horizontal="center" vertical="center"/>
    </xf>
    <xf numFmtId="0" fontId="17" fillId="4" borderId="33" xfId="0" quotePrefix="1" applyFont="1" applyFill="1" applyBorder="1" applyAlignment="1">
      <alignment horizontal="center" vertical="center"/>
    </xf>
    <xf numFmtId="0" fontId="17" fillId="4" borderId="34" xfId="0" quotePrefix="1" applyFont="1" applyFill="1" applyBorder="1" applyAlignment="1">
      <alignment horizontal="center" vertical="center"/>
    </xf>
    <xf numFmtId="44" fontId="17" fillId="4" borderId="20" xfId="0" applyNumberFormat="1" applyFont="1" applyFill="1" applyBorder="1" applyAlignment="1">
      <alignment horizontal="center" vertical="center"/>
    </xf>
    <xf numFmtId="44" fontId="17" fillId="4" borderId="31" xfId="0" applyNumberFormat="1" applyFont="1" applyFill="1" applyBorder="1" applyAlignment="1">
      <alignment horizontal="center" vertical="center"/>
    </xf>
    <xf numFmtId="44" fontId="17" fillId="4" borderId="34" xfId="0" applyNumberFormat="1" applyFont="1" applyFill="1" applyBorder="1" applyAlignment="1">
      <alignment horizontal="center" vertical="center"/>
    </xf>
    <xf numFmtId="44" fontId="17" fillId="4" borderId="35" xfId="0" applyNumberFormat="1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1" fillId="3" borderId="0" xfId="1" applyFont="1" applyFill="1" applyAlignment="1">
      <alignment horizontal="left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14" fillId="2" borderId="29" xfId="0" quotePrefix="1" applyFont="1" applyFill="1" applyBorder="1" applyAlignment="1">
      <alignment horizontal="center" vertical="center"/>
    </xf>
    <xf numFmtId="0" fontId="14" fillId="2" borderId="11" xfId="0" quotePrefix="1" applyFont="1" applyFill="1" applyBorder="1" applyAlignment="1">
      <alignment horizontal="center" vertical="center"/>
    </xf>
  </cellXfs>
  <cellStyles count="6">
    <cellStyle name="Currency" xfId="5" builtinId="4"/>
    <cellStyle name="Hyperlink" xfId="1" builtinId="8"/>
    <cellStyle name="Hyperlink 2" xfId="4" xr:uid="{E5774A26-9516-44FF-9C45-2503334A3769}"/>
    <cellStyle name="Normal" xfId="0" builtinId="0"/>
    <cellStyle name="Normal 2" xfId="2" xr:uid="{ECEB8248-E47E-401F-9180-CE3CB4EA65DF}"/>
    <cellStyle name="Normal 3" xfId="3" xr:uid="{D6D5E2BD-04BA-48A3-90D2-2A0D47D45104}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A71AB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A71AB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ck">
          <color rgb="FFA71AB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rgb="FF0000FF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</dxf>
    <dxf>
      <font>
        <b val="0"/>
        <i val="0"/>
        <strike val="0"/>
        <outline val="0"/>
        <shadow val="0"/>
        <vertAlign val="baseline"/>
        <sz val="12"/>
        <color rgb="FF0000FF"/>
        <name val="BC Sans"/>
        <family val="3"/>
        <scheme val="none"/>
      </font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8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5" formatCode="0;[Red]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rgb="FF0000FF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8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5" formatCode="0;[Red]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</dxf>
    <dxf>
      <font>
        <b val="0"/>
        <i val="0"/>
        <strike val="0"/>
        <outline val="0"/>
        <shadow val="0"/>
        <vertAlign val="baseline"/>
        <sz val="12"/>
        <color rgb="FF0000FF"/>
        <name val="BC Sans"/>
        <family val="3"/>
        <scheme val="none"/>
      </font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BC Sans"/>
        <family val="3"/>
        <scheme val="none"/>
      </font>
    </dxf>
    <dxf>
      <font>
        <strike val="0"/>
        <outline val="0"/>
        <shadow val="0"/>
        <vertAlign val="baseline"/>
        <sz val="12"/>
        <name val="BC Sans"/>
        <family val="3"/>
        <scheme val="none"/>
      </font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2"/>
        <color rgb="FF0000FF"/>
        <name val="BC Sans"/>
        <family val="3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168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rgb="FF0000FF"/>
        <name val="BC Sans"/>
        <family val="3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border diagonalUp="0" diagonalDown="0">
        <left/>
        <right style="medium">
          <color rgb="FFA71AB2"/>
        </right>
        <top/>
        <bottom style="medium">
          <color rgb="FFA71A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A71AB2"/>
        </left>
        <right/>
        <top/>
        <bottom style="medium">
          <color rgb="FFA71A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/>
        <right style="medium">
          <color rgb="FFA71AB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A71AB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>
        <left/>
        <right style="thick">
          <color rgb="FFA71AB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BC Sans"/>
        <family val="3"/>
        <scheme val="none"/>
      </font>
      <numFmt numFmtId="164" formatCode="_-&quot;$&quot;* #,##0.00_-;\-&quot;$&quot;* #,##0.00_-;_-&quot;$&quot;* &quot;-&quot;??_-;_-@_-"/>
      <fill>
        <patternFill patternType="solid">
          <fgColor indexed="64"/>
          <bgColor rgb="FF0017A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C Sans"/>
        <family val="3"/>
        <scheme val="none"/>
      </font>
      <alignment horizontal="right" vertical="bottom" textRotation="0" wrapText="0" indent="0" justifyLastLine="0" shrinkToFit="0" readingOrder="0"/>
      <border diagonalUp="0" diagonalDown="0">
        <left style="thick">
          <color rgb="FFA71AB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C Sans"/>
        <family val="3"/>
        <scheme val="none"/>
      </font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C Sans"/>
        <family val="3"/>
        <scheme val="none"/>
      </font>
      <alignment vertical="center" textRotation="0" wrapText="0" indent="0" justifyLastLine="0" shrinkToFit="0" readingOrder="0"/>
    </dxf>
    <dxf>
      <border>
        <left style="double">
          <color rgb="FFA71AB2"/>
        </left>
        <right style="medium">
          <color rgb="FFA71AB2"/>
        </right>
        <top style="double">
          <color rgb="FFA71AB2"/>
        </top>
        <bottom style="medium">
          <color rgb="FFA71AB2"/>
        </bottom>
      </border>
    </dxf>
    <dxf>
      <border>
        <left style="medium">
          <color rgb="FFA71AB2"/>
        </left>
        <right style="double">
          <color theme="0"/>
        </right>
        <top style="thin">
          <color theme="0"/>
        </top>
        <bottom style="medium">
          <color rgb="FFA71AB2"/>
        </bottom>
        <vertical/>
      </border>
    </dxf>
    <dxf>
      <border>
        <left style="double">
          <color rgb="FFA71AB2"/>
        </left>
        <right style="medium">
          <color rgb="FFA71AB2"/>
        </right>
        <top style="medium">
          <color rgb="FFA71AB2"/>
        </top>
        <bottom style="double">
          <color rgb="FFA71AB2"/>
        </bottom>
      </border>
    </dxf>
    <dxf>
      <border>
        <left style="medium">
          <color rgb="FFA71AB2"/>
        </left>
        <right style="double">
          <color rgb="FFA71AB2"/>
        </right>
        <top style="medium">
          <color rgb="FFA71AB2"/>
        </top>
        <bottom style="double">
          <color rgb="FFA71AB2"/>
        </bottom>
        <vertical/>
      </border>
    </dxf>
    <dxf>
      <fill>
        <patternFill>
          <bgColor rgb="FFD4EAF8"/>
        </patternFill>
      </fill>
    </dxf>
    <dxf>
      <fill>
        <patternFill>
          <bgColor rgb="FF9FD1EF"/>
        </patternFill>
      </fill>
    </dxf>
    <dxf>
      <font>
        <b val="0"/>
        <i val="0"/>
        <color auto="1"/>
      </font>
      <border>
        <left style="double">
          <color rgb="FFA71AB2"/>
        </left>
        <right style="medium">
          <color rgb="FFA71AB2"/>
        </right>
        <top style="medium">
          <color rgb="FFA71AB2"/>
        </top>
        <bottom style="medium">
          <color rgb="FFA71AB2"/>
        </bottom>
        <horizontal/>
      </border>
    </dxf>
    <dxf>
      <font>
        <b val="0"/>
        <i val="0"/>
        <color auto="1"/>
      </font>
      <border>
        <left style="medium">
          <color rgb="FFA71AB2"/>
        </left>
        <right style="double">
          <color rgb="FFA71AB2"/>
        </right>
        <top style="medium">
          <color rgb="FFA71AB2"/>
        </top>
        <bottom style="medium">
          <color rgb="FFA71AB2"/>
        </bottom>
        <vertical style="double">
          <color theme="0"/>
        </vertical>
        <horizontal/>
      </border>
    </dxf>
    <dxf>
      <font>
        <b/>
        <i val="0"/>
        <strike val="0"/>
        <color theme="0"/>
      </font>
      <fill>
        <patternFill>
          <bgColor rgb="FFA71AB2"/>
        </patternFill>
      </fill>
      <border>
        <left style="medium">
          <color rgb="FFA71AB2"/>
        </left>
        <right style="medium">
          <color rgb="FFA71AB2"/>
        </right>
        <top style="thin">
          <color theme="0"/>
        </top>
        <bottom style="medium">
          <color rgb="FFA71AB2"/>
        </bottom>
        <vertical style="double">
          <color theme="0"/>
        </vertical>
      </border>
    </dxf>
    <dxf>
      <font>
        <b val="0"/>
        <i val="0"/>
        <strike val="0"/>
        <color theme="0"/>
      </font>
      <fill>
        <patternFill>
          <bgColor rgb="FF0017AF"/>
        </patternFill>
      </fill>
      <border>
        <left style="medium">
          <color rgb="FFA71AB2"/>
        </left>
        <right style="medium">
          <color rgb="FFA71AB2"/>
        </right>
        <top style="medium">
          <color rgb="FFA71AB2"/>
        </top>
        <bottom style="double">
          <color rgb="FFA71AB2"/>
        </bottom>
        <vertical style="thin">
          <color rgb="FFA71AB2"/>
        </vertical>
      </border>
    </dxf>
    <dxf>
      <font>
        <b val="0"/>
        <i val="0"/>
        <strike val="0"/>
        <color auto="1"/>
      </font>
      <border>
        <left style="medium">
          <color rgb="FFA71AB2"/>
        </left>
        <right style="medium">
          <color rgb="FFA71AB2"/>
        </right>
        <top style="thin">
          <color rgb="FFA71AB2"/>
        </top>
        <bottom style="medium">
          <color rgb="FFA71AB2"/>
        </bottom>
        <vertical style="thin">
          <color rgb="FFA71AB2"/>
        </vertical>
        <horizontal/>
      </border>
    </dxf>
    <dxf>
      <border>
        <left style="double">
          <color rgb="FFA71AB2"/>
        </left>
        <right style="medium">
          <color rgb="FFA71AB2"/>
        </right>
        <top style="double">
          <color rgb="FFA71AB2"/>
        </top>
        <bottom style="medium">
          <color rgb="FFA71AB2"/>
        </bottom>
      </border>
    </dxf>
    <dxf>
      <border>
        <left style="medium">
          <color rgb="FFA71AB2"/>
        </left>
        <right style="double">
          <color rgb="FFA71AB2"/>
        </right>
        <top style="double">
          <color rgb="FFA71AB2"/>
        </top>
        <bottom style="medium">
          <color rgb="FFA71AB2"/>
        </bottom>
      </border>
    </dxf>
    <dxf>
      <border>
        <left style="double">
          <color rgb="FFA71AB2"/>
        </left>
        <right style="medium">
          <color rgb="FFA71AB2"/>
        </right>
        <top style="medium">
          <color rgb="FFA71AB2"/>
        </top>
        <bottom style="double">
          <color rgb="FFA71AB2"/>
        </bottom>
      </border>
    </dxf>
    <dxf>
      <border>
        <left style="medium">
          <color rgb="FFA71AB2"/>
        </left>
        <right style="double">
          <color rgb="FFA71AB2"/>
        </right>
        <top style="medium">
          <color rgb="FFA71AB2"/>
        </top>
        <bottom style="double">
          <color rgb="FFA71AB2"/>
        </bottom>
        <vertical/>
      </border>
    </dxf>
    <dxf>
      <fill>
        <patternFill>
          <bgColor rgb="FFD4EAF8"/>
        </patternFill>
      </fill>
    </dxf>
    <dxf>
      <fill>
        <patternFill>
          <bgColor rgb="FF9FD1EF"/>
        </patternFill>
      </fill>
    </dxf>
    <dxf>
      <font>
        <b val="0"/>
        <i val="0"/>
        <color auto="1"/>
      </font>
      <border>
        <left style="double">
          <color rgb="FFA71AB2"/>
        </left>
        <right style="medium">
          <color rgb="FFA71AB2"/>
        </right>
        <top style="medium">
          <color rgb="FFA71AB2"/>
        </top>
        <bottom style="medium">
          <color rgb="FFA71AB2"/>
        </bottom>
        <horizontal/>
      </border>
    </dxf>
    <dxf>
      <font>
        <b val="0"/>
        <i val="0"/>
        <color auto="1"/>
      </font>
      <border>
        <left style="medium">
          <color rgb="FFA71AB2"/>
        </left>
        <right style="double">
          <color rgb="FFA71AB2"/>
        </right>
        <top style="medium">
          <color rgb="FFA71AB2"/>
        </top>
        <bottom style="medium">
          <color rgb="FFA71AB2"/>
        </bottom>
        <horizontal/>
      </border>
    </dxf>
    <dxf>
      <font>
        <b val="0"/>
        <i val="0"/>
        <strike val="0"/>
        <color theme="0"/>
      </font>
      <fill>
        <patternFill>
          <bgColor rgb="FF0017AF"/>
        </patternFill>
      </fill>
      <border>
        <left style="medium">
          <color rgb="FFA71AB2"/>
        </left>
        <right style="medium">
          <color rgb="FFA71AB2"/>
        </right>
        <top style="double">
          <color rgb="FFA71AB2"/>
        </top>
        <bottom style="medium">
          <color rgb="FFA71AB2"/>
        </bottom>
        <vertical/>
      </border>
    </dxf>
    <dxf>
      <font>
        <b val="0"/>
        <i val="0"/>
        <strike val="0"/>
        <color theme="0"/>
      </font>
      <fill>
        <patternFill>
          <bgColor rgb="FF0017AF"/>
        </patternFill>
      </fill>
      <border>
        <left style="medium">
          <color rgb="FFA71AB2"/>
        </left>
        <right style="medium">
          <color rgb="FFA71AB2"/>
        </right>
        <top style="medium">
          <color rgb="FFA71AB2"/>
        </top>
        <bottom style="double">
          <color rgb="FFA71AB2"/>
        </bottom>
        <vertical style="thin">
          <color rgb="FFA71AB2"/>
        </vertical>
      </border>
    </dxf>
    <dxf>
      <font>
        <b val="0"/>
        <i val="0"/>
        <strike val="0"/>
        <color auto="1"/>
      </font>
      <border>
        <left style="medium">
          <color rgb="FFA71AB2"/>
        </left>
        <right style="medium">
          <color rgb="FFA71AB2"/>
        </right>
        <top style="thin">
          <color rgb="FFA71AB2"/>
        </top>
        <bottom style="medium">
          <color rgb="FFA71AB2"/>
        </bottom>
        <vertical style="thin">
          <color rgb="FFA71AB2"/>
        </vertical>
        <horizontal/>
      </border>
    </dxf>
  </dxfs>
  <tableStyles count="2" defaultTableStyle="FishWorks" defaultPivotStyle="PivotStyleLight16">
    <tableStyle name="FishWorks" pivot="0" count="11" xr9:uid="{6B8D75BB-5B1B-4F2B-9C9A-AAC06D469FA4}">
      <tableStyleElement type="wholeTable" dxfId="238"/>
      <tableStyleElement type="headerRow" dxfId="237"/>
      <tableStyleElement type="totalRow" dxfId="236"/>
      <tableStyleElement type="firstColumn" dxfId="235"/>
      <tableStyleElement type="lastColumn" dxfId="234"/>
      <tableStyleElement type="firstRowStripe" dxfId="233"/>
      <tableStyleElement type="secondRowStripe" dxfId="232"/>
      <tableStyleElement type="firstHeaderCell" dxfId="231"/>
      <tableStyleElement type="lastHeaderCell" dxfId="230"/>
      <tableStyleElement type="firstTotalCell" dxfId="229"/>
      <tableStyleElement type="lastTotalCell" dxfId="228"/>
    </tableStyle>
    <tableStyle name="FishWorks 2" pivot="0" count="11" xr9:uid="{5A072247-7749-4A18-82A0-E615BB8AA2E6}">
      <tableStyleElement type="wholeTable" dxfId="227"/>
      <tableStyleElement type="headerRow" dxfId="226"/>
      <tableStyleElement type="totalRow" dxfId="225"/>
      <tableStyleElement type="firstColumn" dxfId="224"/>
      <tableStyleElement type="lastColumn" dxfId="223"/>
      <tableStyleElement type="firstRowStripe" dxfId="222"/>
      <tableStyleElement type="secondRowStripe" dxfId="221"/>
      <tableStyleElement type="firstHeaderCell" dxfId="220"/>
      <tableStyleElement type="lastHeaderCell" dxfId="219"/>
      <tableStyleElement type="firstTotalCell" dxfId="218"/>
      <tableStyleElement type="lastTotalCell" dxfId="217"/>
    </tableStyle>
  </tableStyles>
  <colors>
    <mruColors>
      <color rgb="FFA71AB2"/>
      <color rgb="FF0017AF"/>
      <color rgb="FF0000FF"/>
      <color rgb="FF9FD1EF"/>
      <color rgb="FFD4EAF8"/>
      <color rgb="FFEAF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CDBBCD-37FE-4F93-8B89-AA8F595E4AC4}" name="BOM" displayName="BOM" ref="B4:F14" totalsRowCount="1" headerRowDxfId="216" dataDxfId="215" totalsRowDxfId="214">
  <autoFilter ref="B4:F13" xr:uid="{C2CDBBCD-37FE-4F93-8B89-AA8F595E4AC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34ECC4B-7C9E-490C-B134-C2F451EE5370}" name="ITEM" totalsRowLabel="TOTAL—BOM: " dataDxfId="213" totalsRowDxfId="4"/>
    <tableColumn id="5" xr3:uid="{600CAFC5-D869-4C37-B911-FBAF4B0D375D}" name="% DONE" totalsRowFunction="average" dataDxfId="212" totalsRowDxfId="3"/>
    <tableColumn id="2" xr3:uid="{2129956B-A8AD-48CF-A060-E5EEA77727FD}" name="$ (EACH)" totalsRowFunction="sum" dataDxfId="211" totalsRowDxfId="2" dataCellStyle="Currency"/>
    <tableColumn id="3" xr3:uid="{B420E817-09BA-4352-9DA2-749BB4F227C0}" name="QUANTITY" dataDxfId="210" totalsRowDxfId="1"/>
    <tableColumn id="4" xr3:uid="{DD45A624-BEFA-4B84-842E-1FFD0141B90F}" name="TOTAL—$/ITEM" totalsRowFunction="sum" dataDxfId="209" totalsRowDxfId="0" dataCellStyle="Currency"/>
  </tableColumns>
  <tableStyleInfo name="FishWorks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D1C228-A67D-A246-9DC8-C330B9C92839}" name="Table14" displayName="Table14" ref="A2:O28" totalsRowShown="0" headerRowDxfId="118" dataDxfId="117">
  <autoFilter ref="A2:O28" xr:uid="{7FD1C228-A67D-A246-9DC8-C330B9C9283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sortState xmlns:xlrd2="http://schemas.microsoft.com/office/spreadsheetml/2017/richdata2" ref="A3:O28">
    <sortCondition ref="L2:L28"/>
  </sortState>
  <tableColumns count="15">
    <tableColumn id="1" xr3:uid="{AED844BB-F934-D14B-88E5-D781FFF30103}" name="PART NAME"/>
    <tableColumn id="2" xr3:uid="{77A366EE-3798-8340-8A30-68262345532E}" name="MANUFACTURER" dataDxfId="116"/>
    <tableColumn id="3" xr3:uid="{D95321C9-4FD9-C04D-BBE7-CB0DE549B8FA}" name="MANUFACTURER PN" dataDxfId="115"/>
    <tableColumn id="4" xr3:uid="{CBF2AF39-EACA-A149-8B3C-40C90D255B7B}" name="SUPPLIER" dataDxfId="114"/>
    <tableColumn id="5" xr3:uid="{C3FFB3C2-98C1-8940-AB0F-94A06CD2EFC5}" name="SUPPLIER PN" dataDxfId="113"/>
    <tableColumn id="6" xr3:uid="{8BDFFD81-74F1-164E-B402-25A165D33142}" name="#—TOTAL" dataDxfId="112"/>
    <tableColumn id="7" xr3:uid="{AB9B0F61-DC0D-0342-916F-E79A00F8AE62}" name="#/UNIT" dataDxfId="111"/>
    <tableColumn id="8" xr3:uid="{9B746397-78A7-7442-B336-1D0B0D7C734C}" name="$/UNIT" dataDxfId="110"/>
    <tableColumn id="17" xr3:uid="{A8881C5F-CF98-468A-82CC-FEAB7410C2B9}" name="$—SHIPPING" dataDxfId="109"/>
    <tableColumn id="9" xr3:uid="{3A83EFB7-149D-184B-90D8-B45A9E097915}" name="$—TOTAL" dataDxfId="108">
      <calculatedColumnFormula>Table14[[#This Row],['#—TOTAL]]*Table14[[#This Row],[$/UNIT]]+Table14[[#This Row],[$—SHIPPING]]</calculatedColumnFormula>
    </tableColumn>
    <tableColumn id="10" xr3:uid="{862AEC84-3F31-0942-8BF9-EC1C04F87A9D}" name="PAYEE" dataDxfId="107"/>
    <tableColumn id="11" xr3:uid="{296A194C-25F3-4646-AB6C-A90E2D4B9DFB}" name="PURCHASED PRE-PROJECT" dataDxfId="106"/>
    <tableColumn id="18" xr3:uid="{5DEC710E-5D42-1943-B882-21DE7112339C}" name="DATE REC'D" dataDxfId="105"/>
    <tableColumn id="14" xr3:uid="{088554C8-A41F-D043-82C9-DA31F0C9232E}" name="URL" dataDxfId="104"/>
    <tableColumn id="12" xr3:uid="{7AB42CC9-CCFB-9B43-AB40-0786E9EE4776}" name="NOTES/DESCRIPTION" dataDxfId="103"/>
  </tableColumns>
  <tableStyleInfo name="FishWorks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342E7C-F9FA-3A4B-B724-F24D657701D2}" name="Table2" displayName="Table2" ref="A2:O15" totalsRowShown="0" headerRowDxfId="102" dataDxfId="101">
  <autoFilter ref="A2:O15" xr:uid="{8E342E7C-F9FA-3A4B-B724-F24D657701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8877041D-406C-F64C-9345-EB2B7E8B1F1B}" name="PART NAME" dataDxfId="100"/>
    <tableColumn id="2" xr3:uid="{4AA4BBC0-5DBB-8542-9775-D909C944635B}" name="MANUFACTURER" dataDxfId="99"/>
    <tableColumn id="3" xr3:uid="{01424331-F4BD-8744-B1CE-68FC7B827DF3}" name="MANUFACTURER PN" dataDxfId="98"/>
    <tableColumn id="4" xr3:uid="{C121BBCE-EE4E-944C-9B13-CF056E0D6CE8}" name="SUPPLIER" dataDxfId="97"/>
    <tableColumn id="5" xr3:uid="{8CCB15BA-4140-3241-800A-2512CCAE58B1}" name="SUPPLIER PN" dataDxfId="96"/>
    <tableColumn id="6" xr3:uid="{FE723907-5BBE-0849-9E99-890866A3AE59}" name="#—TOTAL" dataDxfId="95"/>
    <tableColumn id="7" xr3:uid="{28B5EEC4-881E-6346-9577-1DC80B55C400}" name="#/UNIT" dataDxfId="94"/>
    <tableColumn id="8" xr3:uid="{50882E3D-688D-6A4D-992A-610EC9C54071}" name="$/UNIT" dataDxfId="93"/>
    <tableColumn id="9" xr3:uid="{A3F7031E-317C-4448-9C58-53DAA41A328D}" name="$—SHIPPING" dataDxfId="92"/>
    <tableColumn id="10" xr3:uid="{DD9BC134-0840-274E-889A-A0551BAB4299}" name="$—TOTAL" dataDxfId="91">
      <calculatedColumnFormula>Table2[[#This Row],['#—TOTAL]]*Table2[[#This Row],[$/UNIT]]</calculatedColumnFormula>
    </tableColumn>
    <tableColumn id="11" xr3:uid="{F05BE808-5709-6F47-9376-8979264E3677}" name="PAYEE" dataDxfId="90"/>
    <tableColumn id="12" xr3:uid="{ED0B751D-9507-124E-BAD0-515EC54C0902}" name="PURCHASED PRE-PROJECT" dataDxfId="89"/>
    <tableColumn id="13" xr3:uid="{E8A65F1F-4F43-A34F-8E40-B961DAE0D84A}" name="DATE REC'D" dataDxfId="88"/>
    <tableColumn id="14" xr3:uid="{0A7A160E-CAE2-1C4F-913C-32C99EEE8E45}" name="URL" dataDxfId="87"/>
    <tableColumn id="15" xr3:uid="{34C56C71-B373-044B-9B02-3E5452D7E511}" name="NOTES/DESCRIPTION" dataDxfId="86"/>
  </tableColumns>
  <tableStyleInfo name="FishWorks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0EA2F7-096A-3F42-8B0C-361197F4D663}" name="Table16" displayName="Table16" ref="A2:O7" totalsRowShown="0" headerRowDxfId="85" dataDxfId="84">
  <autoFilter ref="A2:O7" xr:uid="{400EA2F7-096A-3F42-8B0C-361197F4D6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14EB9DD1-CF57-0245-A4E8-88F6328EAD20}" name="PART NAME"/>
    <tableColumn id="2" xr3:uid="{9DDF9D8F-3718-AA48-82FA-C0C658A09238}" name="MANUFACTURER" dataDxfId="83"/>
    <tableColumn id="3" xr3:uid="{3EF6BC58-3BB4-A940-BBD2-25FA2C0642A5}" name="MANUFACTURER PN" dataDxfId="82"/>
    <tableColumn id="4" xr3:uid="{E641DBCC-B24E-B841-949F-1A0F76254FB1}" name="SUPPLIER" dataDxfId="81"/>
    <tableColumn id="5" xr3:uid="{0B3757A0-CED9-894A-9674-7BF4725805ED}" name="SUPPLIER PN" dataDxfId="80"/>
    <tableColumn id="6" xr3:uid="{3A2EC965-B5A6-8B42-8581-B9426B1D3365}" name="#—TOTAL" dataDxfId="79"/>
    <tableColumn id="7" xr3:uid="{0051E3F7-2225-4B44-A2D6-85816838516A}" name="#/UNIT" dataDxfId="78"/>
    <tableColumn id="8" xr3:uid="{0BAAABA7-05DF-9F4F-B0CA-F25D25EF5860}" name="$/UNIT" dataDxfId="77"/>
    <tableColumn id="9" xr3:uid="{B297EBEE-C194-9249-90BF-57659F6E8FB4}" name="$—SHIPPING" dataDxfId="76"/>
    <tableColumn id="10" xr3:uid="{12282991-7AD6-8646-8828-B2A9502B7978}" name="$—TOTAL" dataDxfId="75">
      <calculatedColumnFormula>Table14[[#This Row],['#—TOTAL]]*Table14[[#This Row],[$/UNIT]]+Table14[[#This Row],[$—SHIPPING]]</calculatedColumnFormula>
    </tableColumn>
    <tableColumn id="11" xr3:uid="{02D9523F-E01C-5946-90CF-8FE5CF340F7E}" name="PAYEE" dataDxfId="74"/>
    <tableColumn id="12" xr3:uid="{E5A0C4F2-A6DE-4744-BBAA-E1CB6C1B6B21}" name="PURCHASED PRE-PROJECT" dataDxfId="73"/>
    <tableColumn id="13" xr3:uid="{5EF8690C-6C31-4DA5-80A1-5CFDFD808648}" name="DATE REC'D" dataDxfId="72"/>
    <tableColumn id="14" xr3:uid="{F891172D-22EF-47FE-9353-AF3540539168}" name="URL" dataDxfId="71"/>
    <tableColumn id="15" xr3:uid="{DFAB2005-E9F2-4054-B7A5-19895F1A17D4}" name="NOTES/DESCRIPTION" dataDxfId="70"/>
  </tableColumns>
  <tableStyleInfo name="FishWorks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AC2E12-12B8-334C-B0B7-46040F6FF7E6}" name="Table17" displayName="Table17" ref="A2:O14" totalsRowShown="0" headerRowDxfId="69" dataDxfId="68">
  <autoFilter ref="A2:O14" xr:uid="{22AC2E12-12B8-334C-B0B7-46040F6FF7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68396F6-2CE9-C84A-9976-F3CAA6CFACE1}" name="PART NAME" dataDxfId="67"/>
    <tableColumn id="2" xr3:uid="{91C499A9-3D20-AD4E-AD8F-AAEC6F2364D2}" name="MANUFACTURER" dataDxfId="66"/>
    <tableColumn id="3" xr3:uid="{7BDE25AE-A6DC-5F4F-B11E-9CEB5DD7CA61}" name="MANUFACTURER PN" dataDxfId="65"/>
    <tableColumn id="4" xr3:uid="{70CBC04C-C5B7-FF46-8BBD-816702D9B07A}" name="SUPPLIER" dataDxfId="64"/>
    <tableColumn id="5" xr3:uid="{B340A41F-11D4-C943-9D2C-A6FB4F1FE946}" name="SUPPLIER PN" dataDxfId="63"/>
    <tableColumn id="6" xr3:uid="{52F3B773-D384-B545-8580-5279764C8D82}" name="#—TOTAL" dataDxfId="62"/>
    <tableColumn id="7" xr3:uid="{2B94CAF4-D4B5-2241-BCEE-32A10735E90E}" name="#/UNIT" dataDxfId="61"/>
    <tableColumn id="8" xr3:uid="{40A5A551-F3D1-F045-8057-B4575F5B6110}" name="$/UNIT" dataDxfId="60"/>
    <tableColumn id="9" xr3:uid="{B3DE95E8-0D67-4D49-A74E-8EBDACC7B4EA}" name="$—SHIPPING" dataDxfId="59">
      <calculatedColumnFormula>Table17[[#This Row],['#—TOTAL]]*Table17[[#This Row],[$/UNIT]]</calculatedColumnFormula>
    </tableColumn>
    <tableColumn id="10" xr3:uid="{D5BCD297-1720-014F-A9F4-03BF0CAD5F6E}" name="$—TOTAL" dataDxfId="58"/>
    <tableColumn id="11" xr3:uid="{AF56EF05-FABB-214F-B160-17646B211A99}" name="PAYEE" dataDxfId="57"/>
    <tableColumn id="12" xr3:uid="{25181515-4CA2-6B46-9DA7-8BD4ED21A26A}" name="PURCHASED PRE-PROJECT" dataDxfId="56"/>
    <tableColumn id="13" xr3:uid="{87F95E07-BD65-1740-A4F7-B970BB813C2D}" name="DATE REC'D" dataDxfId="55"/>
    <tableColumn id="14" xr3:uid="{F0E2125F-625E-5044-90E3-DFD78CF40DAB}" name="URL" dataDxfId="54"/>
    <tableColumn id="15" xr3:uid="{B7545F7A-7558-8B42-9920-221B9643837E}" name="NOTES/DESCRIPTION" dataDxfId="53"/>
  </tableColumns>
  <tableStyleInfo name="FishWorks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A80A08-9EC1-2E43-ABB0-D497CBA118E0}" name="Table18" displayName="Table18" ref="A2:O7" totalsRowShown="0" headerRowDxfId="52" dataDxfId="51">
  <autoFilter ref="A2:O7" xr:uid="{BDA80A08-9EC1-2E43-ABB0-D497CBA118E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C2C3C4CE-58FD-E744-9DFA-F6F335705198}" name="PART NAME"/>
    <tableColumn id="2" xr3:uid="{3172AC6E-7976-6047-A1FF-339E9522BD9A}" name="MANUFACTURER" dataDxfId="50"/>
    <tableColumn id="3" xr3:uid="{EB9C7937-76C4-B341-8E77-EBD528F5CBDD}" name="MANUFACTURER PN" dataDxfId="49"/>
    <tableColumn id="4" xr3:uid="{DE90C1F5-D96B-4F4B-9DC6-58BBC3C4CF16}" name="SUPPLIER" dataDxfId="48"/>
    <tableColumn id="5" xr3:uid="{C26250A2-80BF-044D-A324-BA578BD131D2}" name="SUPPLIER PN" dataDxfId="47"/>
    <tableColumn id="6" xr3:uid="{08C9D27A-3068-5149-9BBD-30C87D6ED473}" name="#—TOTAL" dataDxfId="46"/>
    <tableColumn id="7" xr3:uid="{30C7C358-BB2F-5048-B43B-E79469A4B79C}" name="#/UNIT" dataDxfId="45"/>
    <tableColumn id="8" xr3:uid="{0DCCC9D3-F5AD-1041-B0AC-A8FF787561AE}" name="$/UNIT" dataDxfId="44"/>
    <tableColumn id="9" xr3:uid="{C67D4977-5AC9-6F4A-B941-7EE15100F425}" name="$—SHIPPING" dataDxfId="43"/>
    <tableColumn id="10" xr3:uid="{D0791F60-845B-8D4E-A7D9-30E61CEEF953}" name="$—TOTAL" dataDxfId="42">
      <calculatedColumnFormula>Table14[[#This Row],['#—TOTAL]]*Table14[[#This Row],[$/UNIT]]+Table14[[#This Row],[$—SHIPPING]]</calculatedColumnFormula>
    </tableColumn>
    <tableColumn id="11" xr3:uid="{5E7F3995-0094-3E46-AD7E-99611AC12CDF}" name="PAYEE" dataDxfId="41"/>
    <tableColumn id="12" xr3:uid="{EF3B4205-AE7D-7241-9A45-A2782A8B5944}" name="PURCHASED PRE-PROJECT" dataDxfId="40"/>
    <tableColumn id="13" xr3:uid="{F70E2447-0D75-4B86-A6AD-FE584AE21701}" name="DATE REC'D" dataDxfId="39"/>
    <tableColumn id="14" xr3:uid="{93FA0DC0-768E-42A9-A141-AA0CD19AD02B}" name="URL" dataDxfId="38"/>
    <tableColumn id="15" xr3:uid="{57961F3A-59E3-462D-92F2-EF936F813C52}" name="NOTES/DESCRIPTION" dataDxfId="37"/>
  </tableColumns>
  <tableStyleInfo name="FishWorks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6FB8795-0548-4C71-8BB4-151C101089F3}" name="Table12" displayName="Table12" ref="A2:O4" totalsRowShown="0" headerRowDxfId="36" dataDxfId="35">
  <autoFilter ref="A2:O4" xr:uid="{A6FB8795-0548-4C71-8BB4-151C101089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AA8F0FF-2D63-4EAD-90F5-B0F78F636732}" name="PART NAME"/>
    <tableColumn id="2" xr3:uid="{EDED4697-708A-49D4-AEE9-4596B812A78E}" name="MANUFACTURER" dataDxfId="34"/>
    <tableColumn id="3" xr3:uid="{801C2E66-0F9A-409A-BBD3-B8C0FC686457}" name="MANUFACTURER PN" dataDxfId="33"/>
    <tableColumn id="4" xr3:uid="{960BCBE5-6250-470F-B993-FDCF23F8819D}" name="SUPPLIER" dataDxfId="32"/>
    <tableColumn id="5" xr3:uid="{C15F0BC9-738B-402F-BE06-EC9D10B15543}" name="SUPPLIER PN" dataDxfId="31"/>
    <tableColumn id="6" xr3:uid="{36273FF3-83D6-42DB-9C7A-5A0523CC6289}" name="#—TOTAL" dataDxfId="30"/>
    <tableColumn id="7" xr3:uid="{B90A1D0B-4571-4955-878D-9A798E02693B}" name="#/UNIT" dataDxfId="29"/>
    <tableColumn id="8" xr3:uid="{E9D89BAA-5189-4172-B502-0FBE09C955F8}" name="$/UNIT" dataDxfId="28"/>
    <tableColumn id="9" xr3:uid="{50772E47-D100-4043-A1EA-D5A72560AE89}" name="$—SHIPPING" dataDxfId="27"/>
    <tableColumn id="10" xr3:uid="{51F9B842-CB14-43F7-9D34-A42332127EDF}" name="$—TOTAL" dataDxfId="26">
      <calculatedColumnFormula>Table12[[#This Row],['#—TOTAL]]*Table12[[#This Row],[$/UNIT]]</calculatedColumnFormula>
    </tableColumn>
    <tableColumn id="11" xr3:uid="{1065ACE7-8FD3-41B8-BB42-B8A8D793E18A}" name="PAYEE" dataDxfId="25"/>
    <tableColumn id="12" xr3:uid="{316A84C9-9F9F-40D7-99D2-D507802C4BEC}" name="PURCHASED PRE-PROJECT" dataDxfId="24"/>
    <tableColumn id="13" xr3:uid="{17B5786E-C064-4340-A9BD-CDDA24EB29D5}" name="DATE REC'D" dataDxfId="23"/>
    <tableColumn id="14" xr3:uid="{E78BCA88-BB65-4F24-AF5E-D822CBF49E67}" name="URL" dataDxfId="22"/>
    <tableColumn id="15" xr3:uid="{4F651477-B2BB-4BD8-B270-D0FD5BA91537}" name="NOTES/DESCRIPTION" dataDxfId="21"/>
  </tableColumns>
  <tableStyleInfo name="FishWorks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F2E50B9-74FB-42CE-ADCA-EB1060EDF2B9}" name="Table20" displayName="Table20" ref="A2:O4" totalsRowShown="0" headerRowDxfId="20" dataDxfId="19">
  <autoFilter ref="A2:O4" xr:uid="{BF2E50B9-74FB-42CE-ADCA-EB1060EDF2B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690A6C2-4898-4363-ACB2-9FC37C03D3FF}" name="PART NAME"/>
    <tableColumn id="2" xr3:uid="{3C308016-5B0B-4C2F-B3DB-93C6D38B8446}" name="MANUFACTURER" dataDxfId="18"/>
    <tableColumn id="3" xr3:uid="{93797D20-9AC1-4448-A5CC-33434EDA4001}" name="MANUFACTURER PN" dataDxfId="17"/>
    <tableColumn id="4" xr3:uid="{FFF62B41-E4BB-4F88-9A7A-6E5A36C2B275}" name="SUPPLIER" dataDxfId="16"/>
    <tableColumn id="5" xr3:uid="{82BB6ACA-C3FD-4F4D-8B1A-6EB137889D3D}" name="SUPPLIER PN" dataDxfId="15"/>
    <tableColumn id="6" xr3:uid="{6762755D-13C2-49FF-BD07-C83D8CC0D1F0}" name="#—TOTAL" dataDxfId="14"/>
    <tableColumn id="7" xr3:uid="{67D9CDC9-434D-41A2-B902-63793BF87A7A}" name="#/UNIT" dataDxfId="13"/>
    <tableColumn id="8" xr3:uid="{91363906-5325-4CAE-96C8-C12CCFEFE2C6}" name="$/UNIT" dataDxfId="12"/>
    <tableColumn id="9" xr3:uid="{7AA23968-1205-420D-BE14-63CF72D7231E}" name="$—SHIPPING" dataDxfId="11"/>
    <tableColumn id="10" xr3:uid="{DD49D040-4C1B-45F8-87F6-D20944EC8091}" name="$—TOTAL" dataDxfId="10">
      <calculatedColumnFormula>Table14[[#This Row],['#—TOTAL]]*Table14[[#This Row],[$/UNIT]]+Table14[[#This Row],[$—SHIPPING]]</calculatedColumnFormula>
    </tableColumn>
    <tableColumn id="11" xr3:uid="{5A5FE9DB-0521-4E29-870F-9A936CE50D23}" name="PAYEE" dataDxfId="9"/>
    <tableColumn id="12" xr3:uid="{72FA8519-47B2-4850-ACB6-8746D2839B48}" name="PURCHASED PRE-PROJECT" dataDxfId="8"/>
    <tableColumn id="13" xr3:uid="{3828F95A-5589-4836-B9E5-6CA688394D9B}" name="DATE REC'D" dataDxfId="7"/>
    <tableColumn id="14" xr3:uid="{4E979A78-02A1-4063-BCA4-54C04E89EF08}" name="URL" dataDxfId="6"/>
    <tableColumn id="15" xr3:uid="{2B42FF4D-072A-4C56-B20A-5F0F49B1EBBA}" name="NOTES/DESCRIPTION" dataDxfId="5"/>
  </tableColumns>
  <tableStyleInfo name="FishWorks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72AA6E-8CA0-46A1-A30E-65492F60CC18}" name="LBR" displayName="LBR" ref="B17:F23" totalsRowCount="1" headerRowDxfId="208" dataDxfId="207" totalsRowDxfId="206">
  <autoFilter ref="B17:F22" xr:uid="{6C72AA6E-8CA0-46A1-A30E-65492F60CC1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2EDE6B2-F274-4DAC-B919-565830EF4D8F}" name="MEMBER" totalsRowLabel="TOTAL—LBR: " dataDxfId="205" totalsRowDxfId="204"/>
    <tableColumn id="2" xr3:uid="{756724BA-8E91-4A9A-8A2B-F12B480995FC}" name="HOURLY" dataDxfId="203" totalsRowDxfId="202" dataCellStyle="Currency"/>
    <tableColumn id="3" xr3:uid="{AB626F9D-D494-4DC5-AD92-093579671568}" name="HRS/WK" dataDxfId="201" totalsRowDxfId="200"/>
    <tableColumn id="4" xr3:uid="{D788E0B2-3045-4FAF-88CC-EB807D493963}" name="WEEKLY" dataDxfId="199" totalsRowDxfId="198" dataCellStyle="Currency">
      <calculatedColumnFormula>C18*D18</calculatedColumnFormula>
    </tableColumn>
    <tableColumn id="5" xr3:uid="{B4DCFC4A-FBE5-479F-8BE8-AFABF3355334}" name="PROJECT TOTAL" totalsRowFunction="sum" dataDxfId="197" totalsRowDxfId="196" dataCellStyle="Currency">
      <calculatedColumnFormula>E18*'Main Budget'!$J$19</calculatedColumnFormula>
    </tableColumn>
  </tableColumns>
  <tableStyleInfo name="FishWorks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686314-D177-40F0-B7BC-E43FFF88EA64}" name="RU" displayName="RU" ref="B26:F27" headerRowDxfId="195" dataDxfId="194" totalsRowDxfId="193">
  <autoFilter ref="B26:F27" xr:uid="{56686314-D177-40F0-B7BC-E43FFF88EA6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9962168-BD3C-452D-A9BA-6B5D50D5B663}" name="ITEM" totalsRowLabel="RENT/UTILITIES TOTAL: " dataDxfId="192" totalsRowDxfId="191"/>
    <tableColumn id="2" xr3:uid="{700EC517-9D16-44B4-B5F7-8C65D0A8D257}" name="$ (EACH)" dataDxfId="190" totalsRowDxfId="189" dataCellStyle="Currency"/>
    <tableColumn id="3" xr3:uid="{A29867BA-F71D-40CB-AA89-4086C97E07A4}" name="PAYEES" dataDxfId="188" totalsRowDxfId="187"/>
    <tableColumn id="4" xr3:uid="{E52ADA7E-B8F4-45E1-B359-359AEF8DAC53}" name="COST/WK" dataDxfId="186" totalsRowDxfId="185" dataCellStyle="Currency">
      <calculatedColumnFormula>(C27/$J$19)*D27</calculatedColumnFormula>
    </tableColumn>
    <tableColumn id="5" xr3:uid="{47C19489-5655-4683-B47F-052890312DA1}" name="TOTAL—R/U:" totalsRowFunction="sum" dataDxfId="184" totalsRowDxfId="183" dataCellStyle="Currency">
      <calculatedColumnFormula>C27*D27</calculatedColumnFormula>
    </tableColumn>
  </tableColumns>
  <tableStyleInfo name="FishWorks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AB8FF2-5764-4B2B-8C39-876DE949DD1A}" name="Milestones" displayName="Milestones" ref="I4:R13" totalsRowCount="1" headerRowDxfId="182" dataDxfId="181">
  <autoFilter ref="I4:R12" xr:uid="{03AB8FF2-5764-4B2B-8C39-876DE949DD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5506DDA2-FBD1-4C69-8390-66571B547C57}" name="MILESTONE" totalsRowLabel="Total" dataDxfId="180" totalsRowDxfId="179"/>
    <tableColumn id="2" xr3:uid="{25B6D594-8D59-4540-B91B-233754D22D81}" name="DATE" dataDxfId="178" totalsRowDxfId="177"/>
    <tableColumn id="3" xr3:uid="{37E1C912-17DA-403E-BB41-0EB682878BBA}" name="WEEK" dataDxfId="176" totalsRowDxfId="175"/>
    <tableColumn id="4" xr3:uid="{BC33787A-1830-4B37-976F-44AC8E81BB3D}" name="EST. $—BOM" dataDxfId="174" totalsRowDxfId="173"/>
    <tableColumn id="5" xr3:uid="{1E34EDD2-0AA6-4348-A4E0-C18C9F917CAE}" name="EST. $—LBR/RENT" dataDxfId="172" totalsRowDxfId="171">
      <calculatedColumnFormula>($F$23/15 * Milestones[[#This Row],[WEEK]])+($F$27/15*Milestones[[#This Row],[WEEK]])</calculatedColumnFormula>
    </tableColumn>
    <tableColumn id="6" xr3:uid="{B334DCB2-A634-45B0-AA3B-A75DE69BCBC7}" name="EST. $—TOTAL" dataDxfId="170" totalsRowDxfId="169">
      <calculatedColumnFormula>Milestones[[#This Row],[EST. $—BOM]]+Milestones[[#This Row],[EST. $—LBR/RENT]]</calculatedColumnFormula>
    </tableColumn>
    <tableColumn id="7" xr3:uid="{2F80A9B9-E3DE-4E6B-B771-3E846FD84010}" name="TRUE $—BOM" dataDxfId="168" totalsRowDxfId="167"/>
    <tableColumn id="8" xr3:uid="{5BAF8D35-4895-4561-ABE5-1F4B02391B59}" name="TRUE $—LBR/RENT" dataDxfId="166" totalsRowDxfId="165"/>
    <tableColumn id="9" xr3:uid="{C1845393-2267-4B01-A142-8B7839A8A61B}" name="TRUE $—TOTAL" totalsRowFunction="max" dataDxfId="164" totalsRowDxfId="163">
      <calculatedColumnFormula>Milestones[[#This Row],[TRUE $—BOM]]+Milestones[[#This Row],[TRUE $—LBR/RENT]]</calculatedColumnFormula>
    </tableColumn>
    <tableColumn id="10" xr3:uid="{E35BE603-CE55-43A4-BB3C-470656359259}" name="DELTA" totalsRowFunction="sum" dataDxfId="162" totalsRowDxfId="161">
      <calculatedColumnFormula>IF(ISNUMBER($O5),Milestones[[#This Row],[TRUE $—TOTAL]]-Milestones[[#This Row],[EST. $—TOTAL]],"")</calculatedColumnFormula>
    </tableColumn>
  </tableColumns>
  <tableStyleInfo name="FishWorks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B9CA76D-D5C4-47D1-811C-F4DB75A7E1AD}" name="Table19" displayName="Table19" ref="I17:J25" totalsRowShown="0" headerRowDxfId="160" dataDxfId="159">
  <autoFilter ref="I17:J25" xr:uid="{0B9CA76D-D5C4-47D1-811C-F4DB75A7E1AD}">
    <filterColumn colId="0" hiddenButton="1"/>
    <filterColumn colId="1" hiddenButton="1"/>
  </autoFilter>
  <tableColumns count="2">
    <tableColumn id="1" xr3:uid="{B9BAFC02-8432-49B2-BEBC-AB871C72338D}" name="MEASURE" dataDxfId="158"/>
    <tableColumn id="2" xr3:uid="{6F58493D-8958-4191-849C-0D8D2272F8FB}" name="VALUE" dataDxfId="157"/>
  </tableColumns>
  <tableStyleInfo name="FishWorks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C81FE-54DA-4E0C-8730-52790C0A6E4B}" name="Table1" displayName="Table1" ref="B30:C36" totalsRowCount="1">
  <autoFilter ref="B30:C35" xr:uid="{773C81FE-54DA-4E0C-8730-52790C0A6E4B}">
    <filterColumn colId="0" hiddenButton="1"/>
    <filterColumn colId="1" hiddenButton="1"/>
  </autoFilter>
  <tableColumns count="2">
    <tableColumn id="1" xr3:uid="{9E897E2B-4593-45B7-8E96-CE487A52852E}" name="SOURCE" totalsRowLabel="TOTAL:  " totalsRowDxfId="156"/>
    <tableColumn id="2" xr3:uid="{0304F032-15CB-461F-9E33-1AD525E2DB9E}" name="VALUE" totalsRowFunction="sum" totalsRowDxfId="155"/>
  </tableColumns>
  <tableStyleInfo name="FishWorks 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F7158C-A88C-4F65-88AD-8C9C0FEAEF16}" name="Table15" displayName="Table15" ref="B38:C44" totalsRowCount="1">
  <autoFilter ref="B38:C43" xr:uid="{F9F7158C-A88C-4F65-88AD-8C9C0FEAEF16}">
    <filterColumn colId="0" hiddenButton="1"/>
    <filterColumn colId="1" hiddenButton="1"/>
  </autoFilter>
  <tableColumns count="2">
    <tableColumn id="1" xr3:uid="{76AB392F-97AF-4906-AEE2-6BFD4CD30E93}" name="SOURCE" totalsRowLabel="TOTAL:  " totalsRowDxfId="154"/>
    <tableColumn id="2" xr3:uid="{717EE38E-6380-4B86-B6AB-CF7D25921451}" name="VALUE" totalsRowFunction="sum" totalsRowDxfId="153"/>
  </tableColumns>
  <tableStyleInfo name="FishWorks 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88627B-8E0E-4A6E-9320-FA023FE7C096}" name="Table9" displayName="Table9" ref="A2:O22" totalsRowShown="0" headerRowDxfId="152" dataDxfId="151">
  <autoFilter ref="A2:O22" xr:uid="{5B88627B-8E0E-4A6E-9320-FA023FE7C09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871DB138-B5A5-4C3E-B3D5-82FE2599192D}" name="PART NAME" dataDxfId="150"/>
    <tableColumn id="2" xr3:uid="{650F4A49-4CE6-4F01-87FF-6C33728C2AB0}" name="MANUFACTURER" dataDxfId="149"/>
    <tableColumn id="3" xr3:uid="{6B4F5542-1888-4C05-82D8-4D22D7877756}" name="MANUFACTURER PN" dataDxfId="148"/>
    <tableColumn id="4" xr3:uid="{DE14EDDD-A8DC-4354-8D1A-35B13F94802D}" name="SUPPLIER" dataDxfId="147"/>
    <tableColumn id="5" xr3:uid="{0FC3CCDE-9056-474B-A684-3C1D6CCB0EEB}" name="SUPPLIER PN" dataDxfId="146"/>
    <tableColumn id="6" xr3:uid="{1C41CCF8-E2D9-4744-A23D-268D5C081FA7}" name="#—TOTAL" dataDxfId="145"/>
    <tableColumn id="7" xr3:uid="{3C1C4288-C2EC-422A-BEB7-0DF5842AFFA1}" name="#/UNIT" dataDxfId="144"/>
    <tableColumn id="8" xr3:uid="{79D318E7-7E1E-459F-B211-0D55222F1024}" name="$/UNIT" dataDxfId="143"/>
    <tableColumn id="9" xr3:uid="{6DD5039D-5D22-430B-9BE0-D5205ADF336C}" name="$—SHIPPING" dataDxfId="142"/>
    <tableColumn id="10" xr3:uid="{005B99ED-F4E8-47D8-B845-678F461D5F91}" name="$—TOTAL" dataDxfId="141"/>
    <tableColumn id="11" xr3:uid="{754485A5-D09D-4ED8-BD6A-9148B053BF39}" name="PAYEE" dataDxfId="140"/>
    <tableColumn id="12" xr3:uid="{748422D4-A781-4C68-A099-746E8F59AFFA}" name="PURCHASED PRE-PROJECT" dataDxfId="139"/>
    <tableColumn id="13" xr3:uid="{A5D82744-CDED-4C7B-97D4-8CF52E80ECFC}" name="DATE REC'D" dataDxfId="138"/>
    <tableColumn id="14" xr3:uid="{C4D0E90B-FFB1-4FDE-A0CC-D0308D5029C1}" name="URL" dataDxfId="137"/>
    <tableColumn id="15" xr3:uid="{B6C8F37F-E4C7-471D-92EA-7161A72D59FA}" name="NOTES/DESCRIPTION" dataDxfId="136"/>
  </tableColumns>
  <tableStyleInfo name="FishWorks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34A29F-48E7-46D5-AB1B-E5CBE0B207AB}" name="Table8" displayName="Table8" ref="A2:O32" totalsRowShown="0" headerRowDxfId="135" dataDxfId="134">
  <autoFilter ref="A2:O32" xr:uid="{B534A29F-48E7-46D5-AB1B-E5CBE0B207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18DC997-E403-4DF7-B35F-735665CEF668}" name="PART NAME" dataDxfId="133"/>
    <tableColumn id="2" xr3:uid="{D2A4458B-48F3-453C-9279-489B6BA25F3B}" name="MANUFACTURER" dataDxfId="132"/>
    <tableColumn id="3" xr3:uid="{FB3DA96A-9F1E-463F-A13B-26500AEA74FF}" name="MANUFACTURER PN" dataDxfId="131"/>
    <tableColumn id="4" xr3:uid="{685D78B3-3B97-4B01-90ED-760D0E64BBA7}" name="SUPPLIER" dataDxfId="130"/>
    <tableColumn id="5" xr3:uid="{87382C32-ED64-4F7C-964D-9D70B7C3D5AA}" name="SUPPLIER PN" dataDxfId="129"/>
    <tableColumn id="6" xr3:uid="{3242CA29-A084-47CE-8031-ECD8119F0ED1}" name="#—TOTAL" dataDxfId="128"/>
    <tableColumn id="7" xr3:uid="{04B836BC-79C9-46B1-8098-03D3AC244510}" name="#/UNIT" dataDxfId="127"/>
    <tableColumn id="8" xr3:uid="{AF77B02C-F06D-45AF-A6A6-0208217BC586}" name="$/UNIT" dataDxfId="126"/>
    <tableColumn id="9" xr3:uid="{04150DC0-96F7-4587-940C-D305E449F24E}" name="$—SHIPPING" dataDxfId="125"/>
    <tableColumn id="10" xr3:uid="{B803C81B-3388-4C82-805C-C590F6D91A1C}" name="$—TOTAL" dataDxfId="124">
      <calculatedColumnFormula>Table8[[#This Row],[$/UNIT]]*Table8[[#This Row],['#—TOTAL]]</calculatedColumnFormula>
    </tableColumn>
    <tableColumn id="11" xr3:uid="{88DCB84D-CAEA-47AA-9C12-E6F23305F931}" name="PAYEE" dataDxfId="123"/>
    <tableColumn id="12" xr3:uid="{1B5842E7-38A5-494B-8EA1-5BA08CAD9895}" name="PURCHASED PRE-PROJECT" dataDxfId="122"/>
    <tableColumn id="13" xr3:uid="{4130D5C1-3383-4A4D-8D26-9A0EB85C10AE}" name="DATE REC'D" dataDxfId="121"/>
    <tableColumn id="14" xr3:uid="{4E8F46CD-F34D-4376-A306-C5F1AE62E754}" name="URL" dataDxfId="120"/>
    <tableColumn id="15" xr3:uid="{4797A431-7525-46FF-931D-AF1D473A1681}" name="NOTES/DESCRIPTION" dataDxfId="119"/>
  </tableColumns>
  <tableStyleInfo name="FishWorks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ca.robotshop.com/products/atlas-scientific-ph-sensor-ki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a.co/d/08Xsi2S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short/jtbwwthp" TargetMode="External"/><Relationship Id="rId2" Type="http://schemas.openxmlformats.org/officeDocument/2006/relationships/hyperlink" Target="https://www.digikey.ca/en/products/detail/same-sky/CMI-9650C-030/6012411" TargetMode="External"/><Relationship Id="rId1" Type="http://schemas.openxmlformats.org/officeDocument/2006/relationships/hyperlink" Target="https://www.aliexpress.com/item/1005007119301520.html?spm=a2g0o.productlist.main.27.77dbtPY6tPY61Q&amp;algo_pvid=25dc966e-058f-42b1-9eec-fda56f3feeb8&amp;algo_exp_id=25dc966e-058f-42b1-9eec-fda56f3feeb8-13&amp;pdp_npi=4%40dis%21CAD%214.89%214.89%21%21%2124.80%2124.80%21%402101e62517274636100991041e3fae%2112000039464753243%21sea%21CA%213264091378%21X&amp;curPageLogUid=CLZF6sh729Es&amp;utparam-url=scene%3Asearch%7Cquery_from%3A" TargetMode="External"/><Relationship Id="rId5" Type="http://schemas.openxmlformats.org/officeDocument/2006/relationships/table" Target="../tables/table9.xml"/><Relationship Id="rId4" Type="http://schemas.openxmlformats.org/officeDocument/2006/relationships/hyperlink" Target="https://a.co/d/76Hk7w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.co/d/08Xsi2S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hammond-manufacturing/1554QGY/10481634?s=N4IgTCBcDaIIwDYAsBaOBWdSCKBxAmigHIAiIAugL5A" TargetMode="External"/><Relationship Id="rId2" Type="http://schemas.openxmlformats.org/officeDocument/2006/relationships/hyperlink" Target="https://www.mouser.ca/ProductDetail/709-LPF40D-36" TargetMode="External"/><Relationship Id="rId1" Type="http://schemas.openxmlformats.org/officeDocument/2006/relationships/hyperlink" Target="https://www.mouser.ca/ProductDetail/709-LPF25D-36" TargetMode="External"/><Relationship Id="rId6" Type="http://schemas.openxmlformats.org/officeDocument/2006/relationships/table" Target="../tables/table1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pishop.ca/product/2-channel-relay-module-for-arduino-raspberry-pi-5v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hyperlink" Target="https://www.amazon.ca/dp/B06XPFB6ND?ref=ppx_yo2ov_dt_b_fed_asin_title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amazon.ca/dp/B00H8NUVO2?ref=ppx_yo2ov_dt_b_fed_asin_title" TargetMode="External"/><Relationship Id="rId1" Type="http://schemas.openxmlformats.org/officeDocument/2006/relationships/hyperlink" Target="https://www.amazon.ca/dp/B077W1NVLM?ref=ppx_yo2ov_dt_b_fed_asin_title" TargetMode="External"/><Relationship Id="rId6" Type="http://schemas.openxmlformats.org/officeDocument/2006/relationships/hyperlink" Target="https://www.amazon.ca/gp/product/B000FA3A3Y/ref=ppx_yo_dt_b_asin_title_o00_s00?ie=UTF8&amp;th=1" TargetMode="External"/><Relationship Id="rId5" Type="http://schemas.openxmlformats.org/officeDocument/2006/relationships/hyperlink" Target="https://www.amazon.ca/dp/B0CTG4W5SN?ref=ppx_yo2ov_dt_b_fed_asin_title" TargetMode="External"/><Relationship Id="rId4" Type="http://schemas.openxmlformats.org/officeDocument/2006/relationships/hyperlink" Target="https://www.amazon.ca/dp/B07X3393QT?ref=ppx_yo2ov_dt_b_fed_asin_title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B7ED-64A4-406F-A6D5-7AD6E7E31A91}">
  <dimension ref="A1:B13"/>
  <sheetViews>
    <sheetView workbookViewId="0">
      <selection activeCell="A2" sqref="A2"/>
    </sheetView>
  </sheetViews>
  <sheetFormatPr defaultColWidth="9" defaultRowHeight="15.6"/>
  <cols>
    <col min="1" max="1" width="22.69921875" style="54" bestFit="1" customWidth="1"/>
    <col min="2" max="2" width="7.3984375" style="10" bestFit="1" customWidth="1"/>
    <col min="3" max="16384" width="9" style="10"/>
  </cols>
  <sheetData>
    <row r="1" spans="1:2" ht="16.2">
      <c r="A1" s="50" t="s">
        <v>304</v>
      </c>
    </row>
    <row r="2" spans="1:2">
      <c r="A2" s="51" t="s">
        <v>305</v>
      </c>
      <c r="B2" s="52"/>
    </row>
    <row r="3" spans="1:2">
      <c r="A3" s="51" t="s">
        <v>1</v>
      </c>
    </row>
    <row r="4" spans="1:2">
      <c r="A4" s="51" t="s">
        <v>3</v>
      </c>
    </row>
    <row r="5" spans="1:2">
      <c r="A5" s="51" t="s">
        <v>306</v>
      </c>
    </row>
    <row r="6" spans="1:2">
      <c r="A6" s="51" t="s">
        <v>208</v>
      </c>
    </row>
    <row r="7" spans="1:2">
      <c r="A7" s="51" t="s">
        <v>209</v>
      </c>
    </row>
    <row r="8" spans="1:2">
      <c r="A8" s="53" t="s">
        <v>210</v>
      </c>
    </row>
    <row r="9" spans="1:2">
      <c r="A9" s="51" t="s">
        <v>211</v>
      </c>
    </row>
    <row r="10" spans="1:2">
      <c r="A10" s="51" t="s">
        <v>212</v>
      </c>
    </row>
    <row r="11" spans="1:2">
      <c r="A11" s="51" t="s">
        <v>7</v>
      </c>
    </row>
    <row r="12" spans="1:2">
      <c r="A12" s="51" t="s">
        <v>307</v>
      </c>
    </row>
    <row r="13" spans="1:2">
      <c r="A13" s="53" t="s">
        <v>308</v>
      </c>
    </row>
  </sheetData>
  <hyperlinks>
    <hyperlink ref="A2" location="'Main Budget'!A1" display="Main Budget" xr:uid="{0369852C-3FFB-4412-88AB-294949D834F1}"/>
    <hyperlink ref="A3" location="'Base Station'!A1" display="Base Station" xr:uid="{8155DC71-5C40-4365-B51A-1CCF22C6F30A}"/>
    <hyperlink ref="A4" location="'Node Controller'!A1" display="Node Controller" xr:uid="{26E33C42-5F05-47C8-89FC-9535F7CFC540}"/>
    <hyperlink ref="A5" location="'TANK—Mechanical '!A1" display="TANK—Mechanical" xr:uid="{BF0D922E-6669-41D8-AB3C-4D83679B2696}"/>
    <hyperlink ref="A6" location="DEVICE—Lighting!A1" display="DEVICE—Lighting" xr:uid="{8B76EDA5-115D-4078-AA43-E494A79EC8A4}"/>
    <hyperlink ref="A7" location="DEVICE—TempHum!A1" display="DEVICE—TempHum" xr:uid="{573751B1-B181-49FC-B3D8-F479111EF7DA}"/>
    <hyperlink ref="A8" location="'DEVICE—AC Outlet'!A1" display="DEVICE—AC Outlet" xr:uid="{AFBE444F-567C-4CF5-80BE-5011754FB5DA}"/>
    <hyperlink ref="A9" location="DEVICE—Leak!A1" display="DEVICE—Leak" xr:uid="{B85E25DE-D054-43DA-A83F-3C7C624D013B}"/>
    <hyperlink ref="A10" location="DEVICE—PH!A1" display="DEVICE—PH" xr:uid="{026EFFFD-34BE-48F8-8D13-75C224B151B0}"/>
    <hyperlink ref="A11" location="Supplies!A1" display="Supplies" xr:uid="{AAD44E45-D9E2-43AC-B5BC-238311768595}"/>
    <hyperlink ref="A12" location="'Potential Items'!A1" display="Potential Items" xr:uid="{E8287C40-955E-4137-9762-F40AA1C90537}"/>
    <hyperlink ref="A13" location="'--data validation--'!A1" display="'--data validation--" xr:uid="{CDBA1D62-9F59-4767-ACF6-18A7A30F673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AFB7-81DC-E249-B842-9FCE9047C329}">
  <dimension ref="A1:O4"/>
  <sheetViews>
    <sheetView zoomScale="85" zoomScaleNormal="85" workbookViewId="0">
      <selection activeCell="B9" sqref="B9"/>
    </sheetView>
  </sheetViews>
  <sheetFormatPr defaultColWidth="10.69921875" defaultRowHeight="15.6"/>
  <cols>
    <col min="1" max="1" width="33.19921875" style="10" bestFit="1" customWidth="1"/>
    <col min="2" max="2" width="17.69921875" style="10" bestFit="1" customWidth="1"/>
    <col min="3" max="3" width="21.09765625" style="10" bestFit="1" customWidth="1"/>
    <col min="4" max="4" width="12.3984375" style="10" bestFit="1" customWidth="1"/>
    <col min="5" max="5" width="13.69921875" style="10" bestFit="1" customWidth="1"/>
    <col min="6" max="6" width="10.69921875" style="10" bestFit="1" customWidth="1"/>
    <col min="7" max="7" width="8.09765625" style="10" bestFit="1" customWidth="1"/>
    <col min="8" max="8" width="9.09765625" style="10" bestFit="1" customWidth="1"/>
    <col min="9" max="9" width="14" style="10" bestFit="1" customWidth="1"/>
    <col min="10" max="10" width="10.59765625" style="10" bestFit="1" customWidth="1"/>
    <col min="11" max="11" width="10.19921875" style="10" bestFit="1" customWidth="1"/>
    <col min="12" max="12" width="26.8984375" style="10" bestFit="1" customWidth="1"/>
    <col min="13" max="13" width="12.5" style="10" bestFit="1" customWidth="1"/>
    <col min="14" max="14" width="66.09765625" style="10" bestFit="1" customWidth="1"/>
    <col min="15" max="15" width="22.5" style="10" bestFit="1" customWidth="1"/>
    <col min="16" max="16384" width="10.69921875" style="10"/>
  </cols>
  <sheetData>
    <row r="1" spans="1:15">
      <c r="A1" s="55" t="s">
        <v>309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21" t="s">
        <v>276</v>
      </c>
    </row>
    <row r="3" spans="1:15">
      <c r="A3" s="22" t="s">
        <v>293</v>
      </c>
      <c r="B3" s="8" t="s">
        <v>176</v>
      </c>
      <c r="C3" s="8" t="s">
        <v>177</v>
      </c>
      <c r="D3" s="8" t="s">
        <v>178</v>
      </c>
      <c r="E3" s="8" t="s">
        <v>179</v>
      </c>
      <c r="F3" s="2">
        <v>1</v>
      </c>
      <c r="G3" s="2" t="s">
        <v>23</v>
      </c>
      <c r="H3" s="3">
        <v>247.76</v>
      </c>
      <c r="I3" s="3"/>
      <c r="J3" s="3">
        <f>Table12[[#This Row],['#—TOTAL]]*Table12[[#This Row],[$/UNIT]]</f>
        <v>247.76</v>
      </c>
      <c r="K3" s="2" t="s">
        <v>180</v>
      </c>
      <c r="L3" s="2" t="s">
        <v>24</v>
      </c>
      <c r="M3" s="12"/>
      <c r="N3" s="17" t="s">
        <v>181</v>
      </c>
      <c r="O3" s="7"/>
    </row>
    <row r="4" spans="1:15">
      <c r="A4" s="22" t="s">
        <v>275</v>
      </c>
      <c r="B4" s="8"/>
      <c r="C4" s="8"/>
      <c r="D4" s="8" t="s">
        <v>132</v>
      </c>
      <c r="E4" s="8"/>
      <c r="F4" s="2">
        <v>200</v>
      </c>
      <c r="G4" s="2" t="s">
        <v>137</v>
      </c>
      <c r="H4" s="3">
        <v>0.03</v>
      </c>
      <c r="I4" s="3"/>
      <c r="J4" s="3">
        <f>Table12[[#This Row],['#—TOTAL]]*Table12[[#This Row],[$/UNIT]]</f>
        <v>6</v>
      </c>
      <c r="K4" s="2" t="s">
        <v>2</v>
      </c>
      <c r="L4" s="2" t="s">
        <v>24</v>
      </c>
      <c r="M4" s="12">
        <v>45550</v>
      </c>
      <c r="N4" s="16"/>
      <c r="O4" s="7" t="s">
        <v>262</v>
      </c>
    </row>
  </sheetData>
  <dataValidations count="3">
    <dataValidation type="list" allowBlank="1" showInputMessage="1" showErrorMessage="1" sqref="K3:K4" xr:uid="{18805622-95B6-4618-8DFB-5CBBA32FFDB9}">
      <formula1>Payees</formula1>
    </dataValidation>
    <dataValidation type="list" allowBlank="1" showInputMessage="1" showErrorMessage="1" sqref="G3:G4" xr:uid="{CB796457-9EBC-4ADF-8D68-409012DB6F6D}">
      <formula1>Unit_Options</formula1>
    </dataValidation>
    <dataValidation type="list" allowBlank="1" showInputMessage="1" showErrorMessage="1" sqref="L3:L4" xr:uid="{B3230814-CCA0-4D5F-9391-A131B3CF7444}">
      <formula1>Y_N</formula1>
    </dataValidation>
  </dataValidations>
  <hyperlinks>
    <hyperlink ref="N3" r:id="rId1" xr:uid="{742BA2A7-EC3E-4A53-A1E1-96B4E821ED52}"/>
    <hyperlink ref="A1" location="'Table of Contents'!A1" display="Return to Table of Contents" xr:uid="{C1116DAA-3A87-4C1C-B9A5-1A675B0E9EC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794E-E490-485F-9A48-64B8CFAA8C96}">
  <dimension ref="A1:O4"/>
  <sheetViews>
    <sheetView workbookViewId="0"/>
  </sheetViews>
  <sheetFormatPr defaultColWidth="8.69921875" defaultRowHeight="15.6"/>
  <cols>
    <col min="1" max="1" width="50.59765625" style="10" bestFit="1" customWidth="1"/>
    <col min="2" max="2" width="17.09765625" style="10" bestFit="1" customWidth="1"/>
    <col min="3" max="3" width="20.5" style="10" bestFit="1" customWidth="1"/>
    <col min="4" max="4" width="10.19921875" style="10" bestFit="1" customWidth="1"/>
    <col min="5" max="5" width="13.59765625" style="10" bestFit="1" customWidth="1"/>
    <col min="6" max="6" width="10.3984375" style="10" bestFit="1" customWidth="1"/>
    <col min="7" max="7" width="7.8984375" style="10" bestFit="1" customWidth="1"/>
    <col min="8" max="8" width="9.69921875" style="10" customWidth="1"/>
    <col min="9" max="9" width="13.69921875" style="10" bestFit="1" customWidth="1"/>
    <col min="10" max="10" width="10.19921875" style="10" bestFit="1" customWidth="1"/>
    <col min="11" max="11" width="7.3984375" style="10" bestFit="1" customWidth="1"/>
    <col min="12" max="12" width="26.09765625" style="10" bestFit="1" customWidth="1"/>
    <col min="13" max="13" width="12.19921875" style="10" bestFit="1" customWidth="1"/>
    <col min="14" max="14" width="23.69921875" style="10" bestFit="1" customWidth="1"/>
    <col min="15" max="15" width="21.5" style="10" bestFit="1" customWidth="1"/>
    <col min="16" max="16384" width="8.69921875" style="10"/>
  </cols>
  <sheetData>
    <row r="1" spans="1:15">
      <c r="A1" s="55" t="s">
        <v>309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21" t="s">
        <v>276</v>
      </c>
    </row>
    <row r="3" spans="1:15">
      <c r="A3" s="22" t="s">
        <v>294</v>
      </c>
      <c r="B3" s="8"/>
      <c r="C3" s="8"/>
      <c r="D3" s="8" t="s">
        <v>132</v>
      </c>
      <c r="E3" s="8"/>
      <c r="F3" s="2">
        <v>1</v>
      </c>
      <c r="G3" s="2" t="s">
        <v>23</v>
      </c>
      <c r="H3" s="3">
        <v>17.91</v>
      </c>
      <c r="I3" s="3"/>
      <c r="J3" s="3">
        <f>Table14[[#This Row],['#—TOTAL]]*Table14[[#This Row],[$/UNIT]]+Table14[[#This Row],[$—SHIPPING]]</f>
        <v>67.180000000000007</v>
      </c>
      <c r="K3" s="2" t="s">
        <v>2</v>
      </c>
      <c r="L3" s="2" t="s">
        <v>24</v>
      </c>
      <c r="M3" s="12">
        <v>45550</v>
      </c>
      <c r="N3" s="16"/>
      <c r="O3" s="7"/>
    </row>
    <row r="4" spans="1:15">
      <c r="A4" s="22" t="s">
        <v>240</v>
      </c>
      <c r="B4" s="8"/>
      <c r="C4" s="8"/>
      <c r="D4" s="8" t="s">
        <v>132</v>
      </c>
      <c r="E4" s="8"/>
      <c r="F4" s="2">
        <v>1</v>
      </c>
      <c r="G4" s="2" t="s">
        <v>23</v>
      </c>
      <c r="H4" s="3">
        <v>24.62</v>
      </c>
      <c r="I4" s="3"/>
      <c r="J4" s="3">
        <f>Table14[[#This Row],['#—TOTAL]]*Table14[[#This Row],[$/UNIT]]+Table14[[#This Row],[$—SHIPPING]]</f>
        <v>13.1</v>
      </c>
      <c r="K4" s="2" t="s">
        <v>2</v>
      </c>
      <c r="L4" s="2" t="s">
        <v>24</v>
      </c>
      <c r="M4" s="12">
        <v>45550</v>
      </c>
      <c r="N4" s="23" t="s">
        <v>139</v>
      </c>
      <c r="O4" s="7"/>
    </row>
  </sheetData>
  <dataValidations count="3">
    <dataValidation type="list" allowBlank="1" showInputMessage="1" showErrorMessage="1" sqref="K3:K4" xr:uid="{6562980F-FBFE-4321-891D-F74A20E7A916}">
      <formula1>Payees</formula1>
    </dataValidation>
    <dataValidation type="list" allowBlank="1" showInputMessage="1" showErrorMessage="1" sqref="L3:L4" xr:uid="{5E1E55EE-0EB8-44C9-8688-36C5BCE67983}">
      <formula1>Y_N</formula1>
    </dataValidation>
    <dataValidation type="list" allowBlank="1" showInputMessage="1" showErrorMessage="1" sqref="G3:G4" xr:uid="{E5C5BA49-AC94-4B3D-898D-F9694F273606}">
      <formula1>Unit_Options</formula1>
    </dataValidation>
  </dataValidations>
  <hyperlinks>
    <hyperlink ref="N4" r:id="rId1" xr:uid="{FA40088A-B332-4A57-9F29-D6F892FC4AC3}"/>
    <hyperlink ref="A1" location="'Table of Contents'!A1" display="Return to Table of Contents" xr:uid="{A423E6C8-8C4E-4635-A74C-9FB75A4FFDF5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B78B-C014-42C0-AF3F-B17C2FCB3566}">
  <dimension ref="A1:C5"/>
  <sheetViews>
    <sheetView workbookViewId="0">
      <selection activeCell="B1" sqref="B1:B2"/>
    </sheetView>
  </sheetViews>
  <sheetFormatPr defaultColWidth="9" defaultRowHeight="15.6"/>
  <cols>
    <col min="1" max="3" width="9" style="57"/>
    <col min="4" max="16384" width="9" style="56"/>
  </cols>
  <sheetData>
    <row r="1" spans="1:3">
      <c r="A1" s="57" t="s">
        <v>5</v>
      </c>
      <c r="B1" s="57" t="s">
        <v>142</v>
      </c>
      <c r="C1" s="57" t="s">
        <v>289</v>
      </c>
    </row>
    <row r="2" spans="1:3">
      <c r="A2" s="57" t="s">
        <v>4</v>
      </c>
      <c r="B2" s="57" t="s">
        <v>24</v>
      </c>
      <c r="C2" s="57" t="s">
        <v>23</v>
      </c>
    </row>
    <row r="3" spans="1:3">
      <c r="A3" s="57" t="s">
        <v>2</v>
      </c>
      <c r="C3" s="57" t="s">
        <v>145</v>
      </c>
    </row>
    <row r="4" spans="1:3">
      <c r="A4" s="57" t="s">
        <v>6</v>
      </c>
      <c r="C4" s="57" t="s">
        <v>137</v>
      </c>
    </row>
    <row r="5" spans="1:3">
      <c r="A5" s="57" t="s">
        <v>180</v>
      </c>
      <c r="C5" s="57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7CB2-8672-4623-B0A1-4297B438E5DC}">
  <sheetPr>
    <pageSetUpPr fitToPage="1"/>
  </sheetPr>
  <dimension ref="A1:V46"/>
  <sheetViews>
    <sheetView tabSelected="1" topLeftCell="BD15" zoomScale="130" zoomScaleNormal="130" workbookViewId="0">
      <selection activeCell="BI32" sqref="BI32"/>
    </sheetView>
  </sheetViews>
  <sheetFormatPr defaultColWidth="10.69921875" defaultRowHeight="15.6"/>
  <cols>
    <col min="1" max="1" width="3.3984375" style="10" customWidth="1"/>
    <col min="2" max="2" width="35.8984375" style="10" bestFit="1" customWidth="1"/>
    <col min="3" max="3" width="17.59765625" style="10" bestFit="1" customWidth="1"/>
    <col min="4" max="5" width="15" style="10" bestFit="1" customWidth="1"/>
    <col min="6" max="6" width="17.59765625" style="10" bestFit="1" customWidth="1"/>
    <col min="7" max="8" width="4.5" style="10" customWidth="1"/>
    <col min="9" max="9" width="44.59765625" style="10" bestFit="1" customWidth="1"/>
    <col min="10" max="10" width="17.59765625" style="10" bestFit="1" customWidth="1"/>
    <col min="11" max="11" width="6.5" style="10" bestFit="1" customWidth="1"/>
    <col min="12" max="12" width="15" style="10" bestFit="1" customWidth="1"/>
    <col min="13" max="13" width="20.09765625" style="10" bestFit="1" customWidth="1"/>
    <col min="14" max="14" width="17.59765625" style="10" bestFit="1" customWidth="1"/>
    <col min="15" max="15" width="15" style="10" bestFit="1" customWidth="1"/>
    <col min="16" max="16" width="19.19921875" style="10" bestFit="1" customWidth="1"/>
    <col min="17" max="17" width="15.8984375" style="10" bestFit="1" customWidth="1"/>
    <col min="18" max="18" width="13.59765625" style="10" bestFit="1" customWidth="1"/>
    <col min="19" max="19" width="3.3984375" style="10" customWidth="1"/>
    <col min="20" max="20" width="11.69921875" style="10" bestFit="1" customWidth="1"/>
    <col min="21" max="21" width="36.09765625" style="10" bestFit="1" customWidth="1"/>
    <col min="22" max="22" width="17.59765625" style="10" bestFit="1" customWidth="1"/>
    <col min="23" max="16384" width="10.69921875" style="10"/>
  </cols>
  <sheetData>
    <row r="1" spans="1:22">
      <c r="A1" s="103" t="s">
        <v>309</v>
      </c>
      <c r="B1" s="103"/>
      <c r="C1" s="103"/>
    </row>
    <row r="2" spans="1:22" ht="16.2" thickBot="1">
      <c r="V2" s="29"/>
    </row>
    <row r="3" spans="1:22" ht="19.2" thickTop="1">
      <c r="B3" s="111" t="s">
        <v>192</v>
      </c>
      <c r="C3" s="108"/>
      <c r="D3" s="108"/>
      <c r="E3" s="108"/>
      <c r="F3" s="112"/>
      <c r="G3" s="76"/>
      <c r="H3" s="76"/>
      <c r="I3" s="107" t="s">
        <v>301</v>
      </c>
      <c r="J3" s="108"/>
      <c r="K3" s="108"/>
      <c r="L3" s="108"/>
      <c r="M3" s="108"/>
      <c r="N3" s="108"/>
      <c r="O3" s="108"/>
      <c r="P3" s="108"/>
      <c r="Q3" s="108"/>
      <c r="R3" s="109"/>
      <c r="V3" s="30"/>
    </row>
    <row r="4" spans="1:22">
      <c r="B4" s="40" t="s">
        <v>182</v>
      </c>
      <c r="C4" s="2" t="s">
        <v>183</v>
      </c>
      <c r="D4" s="2" t="s">
        <v>204</v>
      </c>
      <c r="E4" s="2" t="s">
        <v>184</v>
      </c>
      <c r="F4" s="2" t="s">
        <v>203</v>
      </c>
      <c r="I4" s="2" t="s">
        <v>194</v>
      </c>
      <c r="J4" s="2" t="s">
        <v>195</v>
      </c>
      <c r="K4" s="2" t="s">
        <v>196</v>
      </c>
      <c r="L4" s="2" t="s">
        <v>197</v>
      </c>
      <c r="M4" s="2" t="s">
        <v>198</v>
      </c>
      <c r="N4" s="2" t="s">
        <v>199</v>
      </c>
      <c r="O4" s="2" t="s">
        <v>200</v>
      </c>
      <c r="P4" s="2" t="s">
        <v>201</v>
      </c>
      <c r="Q4" s="2" t="s">
        <v>296</v>
      </c>
      <c r="R4" s="41" t="s">
        <v>297</v>
      </c>
      <c r="V4" s="29"/>
    </row>
    <row r="5" spans="1:22">
      <c r="B5" s="42" t="s">
        <v>1</v>
      </c>
      <c r="C5" s="77">
        <v>0.2</v>
      </c>
      <c r="D5" s="6">
        <v>75.126999999999995</v>
      </c>
      <c r="E5" s="2">
        <v>5</v>
      </c>
      <c r="F5" s="6">
        <f>BOM[[#This Row],[QUANTITY]]*BOM[[#This Row],[$ (EACH)]]</f>
        <v>375.63499999999999</v>
      </c>
      <c r="I5" s="1" t="s">
        <v>218</v>
      </c>
      <c r="J5" s="59">
        <v>45551</v>
      </c>
      <c r="K5" s="2">
        <v>3</v>
      </c>
      <c r="L5" s="6">
        <f>F7+F8</f>
        <v>907.27365333333341</v>
      </c>
      <c r="M5" s="6">
        <f>($F$23/15 * Milestones[[#This Row],[WEEK]])+($F$27/15*Milestones[[#This Row],[WEEK]])</f>
        <v>28439</v>
      </c>
      <c r="N5" s="6">
        <f>Milestones[[#This Row],[EST. $—BOM]]+Milestones[[#This Row],[EST. $—LBR/RENT]]</f>
        <v>29346.273653333334</v>
      </c>
      <c r="O5" s="6">
        <f>D7+F8</f>
        <v>907.27365333333341</v>
      </c>
      <c r="P5" s="6">
        <f>($F$23/15 * Milestones[[#This Row],[WEEK]])+($F$27/15*Milestones[[#This Row],[WEEK]])</f>
        <v>28439</v>
      </c>
      <c r="Q5" s="6">
        <f>Milestones[[#This Row],[TRUE $—BOM]]+Milestones[[#This Row],[TRUE $—LBR/RENT]]</f>
        <v>29346.273653333334</v>
      </c>
      <c r="R5" s="43">
        <f>IF(ISNUMBER($O5),Milestones[[#This Row],[TRUE $—TOTAL]]-Milestones[[#This Row],[EST. $—TOTAL]],"")</f>
        <v>0</v>
      </c>
    </row>
    <row r="6" spans="1:22">
      <c r="B6" s="42" t="s">
        <v>3</v>
      </c>
      <c r="C6" s="77">
        <v>0.2</v>
      </c>
      <c r="D6" s="6">
        <v>23.184000000000005</v>
      </c>
      <c r="E6" s="2">
        <v>9</v>
      </c>
      <c r="F6" s="6">
        <f>BOM[[#This Row],[QUANTITY]]*BOM[[#This Row],[$ (EACH)]]</f>
        <v>208.65600000000003</v>
      </c>
      <c r="I6" s="1" t="s">
        <v>11</v>
      </c>
      <c r="J6" s="59">
        <v>45562</v>
      </c>
      <c r="K6" s="2">
        <v>5</v>
      </c>
      <c r="L6" s="6">
        <f>L5</f>
        <v>907.27365333333341</v>
      </c>
      <c r="M6" s="6">
        <f>($F$23/15 * Milestones[[#This Row],[WEEK]])+($F$27/15*Milestones[[#This Row],[WEEK]])</f>
        <v>47398.333333333336</v>
      </c>
      <c r="N6" s="6">
        <f>Milestones[[#This Row],[EST. $—BOM]]+Milestones[[#This Row],[EST. $—LBR/RENT]]</f>
        <v>48305.606986666666</v>
      </c>
      <c r="O6" s="6">
        <f>F9+F10+F11+O5</f>
        <v>1210.1584533333335</v>
      </c>
      <c r="P6" s="6">
        <f>($F$23/15 * Milestones[[#This Row],[WEEK]])+($F$27/15*Milestones[[#This Row],[WEEK]])</f>
        <v>47398.333333333336</v>
      </c>
      <c r="Q6" s="6">
        <f>Milestones[[#This Row],[TRUE $—BOM]]+Milestones[[#This Row],[TRUE $—LBR/RENT]]</f>
        <v>48608.491786666666</v>
      </c>
      <c r="R6" s="43">
        <f>IF(ISNUMBER($O6),Milestones[[#This Row],[TRUE $—TOTAL]]-Milestones[[#This Row],[EST. $—TOTAL]],"")</f>
        <v>302.88479999999981</v>
      </c>
    </row>
    <row r="7" spans="1:22">
      <c r="B7" s="42" t="s">
        <v>295</v>
      </c>
      <c r="C7" s="77">
        <v>0.8</v>
      </c>
      <c r="D7" s="6">
        <v>729.10680000000002</v>
      </c>
      <c r="E7" s="2">
        <v>1</v>
      </c>
      <c r="F7" s="6">
        <v>729.10680000000002</v>
      </c>
      <c r="I7" s="1" t="s">
        <v>213</v>
      </c>
      <c r="J7" s="59">
        <v>45586</v>
      </c>
      <c r="K7" s="2">
        <v>8</v>
      </c>
      <c r="L7" s="6">
        <f>L5+F6</f>
        <v>1115.9296533333334</v>
      </c>
      <c r="M7" s="6">
        <f>($F$23/15 * Milestones[[#This Row],[WEEK]])+($F$27/15*Milestones[[#This Row],[WEEK]])</f>
        <v>75837.333333333328</v>
      </c>
      <c r="N7" s="6">
        <f>Milestones[[#This Row],[EST. $—BOM]]+Milestones[[#This Row],[EST. $—LBR/RENT]]</f>
        <v>76953.262986666668</v>
      </c>
      <c r="O7" s="6"/>
      <c r="P7" s="6"/>
      <c r="Q7" s="6">
        <f>Milestones[[#This Row],[TRUE $—BOM]]+Milestones[[#This Row],[TRUE $—LBR/RENT]]</f>
        <v>0</v>
      </c>
      <c r="R7" s="43" t="str">
        <f>IF(ISNUMBER($O7),Milestones[[#This Row],[TRUE $—TOTAL]]-Milestones[[#This Row],[EST. $—TOTAL]],"")</f>
        <v/>
      </c>
    </row>
    <row r="8" spans="1:22">
      <c r="B8" s="42" t="s">
        <v>208</v>
      </c>
      <c r="C8" s="77">
        <v>0.75</v>
      </c>
      <c r="D8" s="6">
        <v>178.16685333333334</v>
      </c>
      <c r="E8" s="2">
        <v>1</v>
      </c>
      <c r="F8" s="6">
        <v>178.16685333333334</v>
      </c>
      <c r="I8" s="1" t="s">
        <v>214</v>
      </c>
      <c r="J8" s="59">
        <v>45593</v>
      </c>
      <c r="K8" s="2">
        <v>9</v>
      </c>
      <c r="L8" s="6">
        <f>L7+F5</f>
        <v>1491.5646533333334</v>
      </c>
      <c r="M8" s="6">
        <f>($F$23/15 * Milestones[[#This Row],[WEEK]])+($F$27/15*Milestones[[#This Row],[WEEK]])</f>
        <v>85317</v>
      </c>
      <c r="N8" s="6">
        <f>Milestones[[#This Row],[EST. $—BOM]]+Milestones[[#This Row],[EST. $—LBR/RENT]]</f>
        <v>86808.564653333335</v>
      </c>
      <c r="O8" s="6"/>
      <c r="P8" s="6"/>
      <c r="Q8" s="6">
        <f>Milestones[[#This Row],[TRUE $—BOM]]+Milestones[[#This Row],[TRUE $—LBR/RENT]]</f>
        <v>0</v>
      </c>
      <c r="R8" s="43" t="str">
        <f>IF(ISNUMBER($O8),Milestones[[#This Row],[TRUE $—TOTAL]]-Milestones[[#This Row],[EST. $—TOTAL]],"")</f>
        <v/>
      </c>
    </row>
    <row r="9" spans="1:22">
      <c r="B9" s="42" t="s">
        <v>209</v>
      </c>
      <c r="C9" s="77">
        <v>0.5</v>
      </c>
      <c r="D9" s="6">
        <v>79.076000000000008</v>
      </c>
      <c r="E9" s="2">
        <v>1</v>
      </c>
      <c r="F9" s="6">
        <v>79.076000000000008</v>
      </c>
      <c r="I9" s="1" t="s">
        <v>215</v>
      </c>
      <c r="J9" s="59">
        <v>45614</v>
      </c>
      <c r="K9" s="2">
        <v>12</v>
      </c>
      <c r="L9" s="6">
        <f>L8+F9+F10+F11+F12</f>
        <v>2048.2094533333334</v>
      </c>
      <c r="M9" s="6">
        <f>($F$23/15 * Milestones[[#This Row],[WEEK]])+($F$27/15*Milestones[[#This Row],[WEEK]])</f>
        <v>113756</v>
      </c>
      <c r="N9" s="6">
        <f>Milestones[[#This Row],[EST. $—BOM]]+Milestones[[#This Row],[EST. $—LBR/RENT]]</f>
        <v>115804.20945333333</v>
      </c>
      <c r="O9" s="6"/>
      <c r="P9" s="6"/>
      <c r="Q9" s="6">
        <f>Milestones[[#This Row],[TRUE $—BOM]]+Milestones[[#This Row],[TRUE $—LBR/RENT]]</f>
        <v>0</v>
      </c>
      <c r="R9" s="43" t="str">
        <f>IF(ISNUMBER($O9),Milestones[[#This Row],[TRUE $—TOTAL]]-Milestones[[#This Row],[EST. $—TOTAL]],"")</f>
        <v/>
      </c>
    </row>
    <row r="10" spans="1:22">
      <c r="B10" s="42" t="s">
        <v>210</v>
      </c>
      <c r="C10" s="77">
        <v>0.5</v>
      </c>
      <c r="D10" s="6">
        <v>141.52879999999999</v>
      </c>
      <c r="E10" s="2">
        <v>1</v>
      </c>
      <c r="F10" s="6">
        <v>141.52879999999999</v>
      </c>
      <c r="I10" s="1" t="s">
        <v>216</v>
      </c>
      <c r="J10" s="59">
        <v>45614</v>
      </c>
      <c r="K10" s="2">
        <v>12</v>
      </c>
      <c r="L10" s="6">
        <f>L9</f>
        <v>2048.2094533333334</v>
      </c>
      <c r="M10" s="6">
        <f>($F$23/15 * Milestones[[#This Row],[WEEK]])+($F$27/15*Milestones[[#This Row],[WEEK]])</f>
        <v>113756</v>
      </c>
      <c r="N10" s="6">
        <f>Milestones[[#This Row],[EST. $—BOM]]+Milestones[[#This Row],[EST. $—LBR/RENT]]</f>
        <v>115804.20945333333</v>
      </c>
      <c r="O10" s="6"/>
      <c r="P10" s="6"/>
      <c r="Q10" s="6">
        <f>Milestones[[#This Row],[TRUE $—BOM]]+Milestones[[#This Row],[TRUE $—LBR/RENT]]</f>
        <v>0</v>
      </c>
      <c r="R10" s="43" t="str">
        <f>IF(ISNUMBER($O10),Milestones[[#This Row],[TRUE $—TOTAL]]-Milestones[[#This Row],[EST. $—TOTAL]],"")</f>
        <v/>
      </c>
    </row>
    <row r="11" spans="1:22">
      <c r="B11" s="42" t="s">
        <v>211</v>
      </c>
      <c r="C11" s="77">
        <v>0.5</v>
      </c>
      <c r="D11" s="6">
        <v>82.28</v>
      </c>
      <c r="E11" s="2">
        <v>1</v>
      </c>
      <c r="F11" s="6">
        <v>82.28</v>
      </c>
      <c r="I11" s="1" t="s">
        <v>217</v>
      </c>
      <c r="J11" s="59">
        <v>45628</v>
      </c>
      <c r="K11" s="2">
        <v>14</v>
      </c>
      <c r="L11" s="6">
        <f>L10+F13</f>
        <v>2128.4894533333336</v>
      </c>
      <c r="M11" s="6">
        <f>($F$23/15 * Milestones[[#This Row],[WEEK]])+($F$27/15*Milestones[[#This Row],[WEEK]])</f>
        <v>132715.33333333334</v>
      </c>
      <c r="N11" s="6">
        <f>Milestones[[#This Row],[EST. $—BOM]]+Milestones[[#This Row],[EST. $—LBR/RENT]]</f>
        <v>134843.82278666669</v>
      </c>
      <c r="O11" s="6"/>
      <c r="P11" s="6"/>
      <c r="Q11" s="6">
        <f>Milestones[[#This Row],[TRUE $—BOM]]+Milestones[[#This Row],[TRUE $—LBR/RENT]]</f>
        <v>0</v>
      </c>
      <c r="R11" s="43" t="str">
        <f>IF(ISNUMBER($O11),Milestones[[#This Row],[TRUE $—TOTAL]]-Milestones[[#This Row],[EST. $—TOTAL]],"")</f>
        <v/>
      </c>
    </row>
    <row r="12" spans="1:22">
      <c r="B12" s="42" t="s">
        <v>212</v>
      </c>
      <c r="C12" s="77">
        <v>0</v>
      </c>
      <c r="D12" s="6">
        <v>253.76</v>
      </c>
      <c r="E12" s="2">
        <v>1</v>
      </c>
      <c r="F12" s="6">
        <v>253.76</v>
      </c>
      <c r="I12" s="1" t="s">
        <v>16</v>
      </c>
      <c r="J12" s="59">
        <v>45635</v>
      </c>
      <c r="K12" s="2">
        <v>15</v>
      </c>
      <c r="L12" s="6">
        <f>L11</f>
        <v>2128.4894533333336</v>
      </c>
      <c r="M12" s="6">
        <f>($F$23/15 * Milestones[[#This Row],[WEEK]])+($F$27/15*Milestones[[#This Row],[WEEK]])</f>
        <v>142195</v>
      </c>
      <c r="N12" s="6">
        <f>Milestones[[#This Row],[EST. $—BOM]]+Milestones[[#This Row],[EST. $—LBR/RENT]]</f>
        <v>144323.48945333334</v>
      </c>
      <c r="O12" s="6"/>
      <c r="P12" s="6"/>
      <c r="Q12" s="6">
        <f>Milestones[[#This Row],[TRUE $—BOM]]+Milestones[[#This Row],[TRUE $—LBR/RENT]]</f>
        <v>0</v>
      </c>
      <c r="R12" s="43" t="str">
        <f>IF(ISNUMBER($O12),Milestones[[#This Row],[TRUE $—TOTAL]]-Milestones[[#This Row],[EST. $—TOTAL]],"")</f>
        <v/>
      </c>
    </row>
    <row r="13" spans="1:22">
      <c r="B13" s="42" t="s">
        <v>7</v>
      </c>
      <c r="C13" s="77">
        <v>0.5</v>
      </c>
      <c r="D13" s="6">
        <v>80.28</v>
      </c>
      <c r="E13" s="2">
        <v>1</v>
      </c>
      <c r="F13" s="6">
        <v>80.28</v>
      </c>
      <c r="I13" s="60" t="s">
        <v>298</v>
      </c>
      <c r="J13" s="2"/>
      <c r="K13" s="2"/>
      <c r="L13" s="2"/>
      <c r="M13" s="2"/>
      <c r="N13" s="2"/>
      <c r="O13" s="2"/>
      <c r="P13" s="2"/>
      <c r="Q13" s="61">
        <f>SUBTOTAL(104,Milestones[TRUE $—TOTAL])</f>
        <v>48608.491786666666</v>
      </c>
      <c r="R13" s="44">
        <f>SUBTOTAL(109,Milestones[DELTA])</f>
        <v>302.88479999999981</v>
      </c>
    </row>
    <row r="14" spans="1:22" ht="18.75" customHeight="1">
      <c r="B14" s="45" t="s">
        <v>205</v>
      </c>
      <c r="C14" s="4">
        <f>SUBTOTAL(101,BOM[% DONE])</f>
        <v>0.43888888888888888</v>
      </c>
      <c r="D14" s="61">
        <f>SUBTOTAL(109,BOM[$ (EACH)])</f>
        <v>1642.5094533333333</v>
      </c>
      <c r="E14" s="5"/>
      <c r="F14" s="61">
        <f>SUBTOTAL(109,BOM[TOTAL—$/ITEM])</f>
        <v>2128.489453333334</v>
      </c>
      <c r="R14" s="39"/>
    </row>
    <row r="15" spans="1:22" ht="16.2" thickBot="1">
      <c r="B15" s="38"/>
      <c r="R15" s="39"/>
    </row>
    <row r="16" spans="1:22" ht="18.600000000000001">
      <c r="B16" s="104" t="s">
        <v>202</v>
      </c>
      <c r="C16" s="105"/>
      <c r="D16" s="105"/>
      <c r="E16" s="105"/>
      <c r="F16" s="106"/>
      <c r="I16" s="110" t="s">
        <v>299</v>
      </c>
      <c r="J16" s="106"/>
      <c r="R16" s="39"/>
    </row>
    <row r="17" spans="2:18" ht="16.5" customHeight="1">
      <c r="B17" s="46" t="s">
        <v>185</v>
      </c>
      <c r="C17" s="78" t="s">
        <v>186</v>
      </c>
      <c r="D17" s="78" t="s">
        <v>189</v>
      </c>
      <c r="E17" s="78" t="s">
        <v>187</v>
      </c>
      <c r="F17" s="78" t="s">
        <v>188</v>
      </c>
      <c r="I17" s="62" t="s">
        <v>302</v>
      </c>
      <c r="J17" s="63" t="s">
        <v>303</v>
      </c>
      <c r="R17" s="39"/>
    </row>
    <row r="18" spans="2:18" ht="16.5" customHeight="1">
      <c r="B18" s="47" t="s">
        <v>2</v>
      </c>
      <c r="C18" s="6">
        <v>45</v>
      </c>
      <c r="D18" s="78">
        <v>48</v>
      </c>
      <c r="E18" s="6">
        <f>C18*D18</f>
        <v>2160</v>
      </c>
      <c r="F18" s="6">
        <f>E18*'Main Budget'!$J$18</f>
        <v>32400</v>
      </c>
      <c r="I18" s="64" t="s">
        <v>0</v>
      </c>
      <c r="J18" s="63">
        <v>15</v>
      </c>
      <c r="R18" s="39"/>
    </row>
    <row r="19" spans="2:18" ht="15.75" customHeight="1">
      <c r="B19" s="47" t="s">
        <v>4</v>
      </c>
      <c r="C19" s="6">
        <v>45</v>
      </c>
      <c r="D19" s="78">
        <v>48</v>
      </c>
      <c r="E19" s="6">
        <f>C19*D19</f>
        <v>2160</v>
      </c>
      <c r="F19" s="6">
        <f>E19*'Main Budget'!$J$18</f>
        <v>32400</v>
      </c>
      <c r="I19" s="74" t="s">
        <v>324</v>
      </c>
      <c r="J19" s="75">
        <v>8</v>
      </c>
      <c r="R19" s="39"/>
    </row>
    <row r="20" spans="2:18" ht="15.75" customHeight="1">
      <c r="B20" s="47" t="s">
        <v>5</v>
      </c>
      <c r="C20" s="6">
        <v>45</v>
      </c>
      <c r="D20" s="78">
        <v>48</v>
      </c>
      <c r="E20" s="6">
        <f>C20*D20</f>
        <v>2160</v>
      </c>
      <c r="F20" s="6">
        <f>E20*'Main Budget'!$J$18</f>
        <v>32400</v>
      </c>
      <c r="I20" s="64" t="s">
        <v>10</v>
      </c>
      <c r="J20" s="65">
        <f>$C$14*$P$44</f>
        <v>63403.027126740744</v>
      </c>
      <c r="R20" s="39"/>
    </row>
    <row r="21" spans="2:18" ht="16.5" customHeight="1">
      <c r="B21" s="47" t="s">
        <v>6</v>
      </c>
      <c r="C21" s="6">
        <v>45</v>
      </c>
      <c r="D21" s="78">
        <v>48</v>
      </c>
      <c r="E21" s="6">
        <f>C21*D21</f>
        <v>2160</v>
      </c>
      <c r="F21" s="6">
        <f>E21*'Main Budget'!$J$18</f>
        <v>32400</v>
      </c>
      <c r="I21" s="64" t="s">
        <v>9</v>
      </c>
      <c r="J21" s="65">
        <f>(5/15)*$P$44</f>
        <v>48154.197817777778</v>
      </c>
      <c r="R21" s="39"/>
    </row>
    <row r="22" spans="2:18" ht="15.75" customHeight="1">
      <c r="B22" s="47" t="s">
        <v>300</v>
      </c>
      <c r="C22" s="6"/>
      <c r="D22" s="78"/>
      <c r="E22" s="6">
        <f>C22*D22</f>
        <v>0</v>
      </c>
      <c r="F22" s="6">
        <v>75</v>
      </c>
      <c r="I22" s="66" t="s">
        <v>12</v>
      </c>
      <c r="J22" s="67">
        <f>Milestones[[#Totals],[TRUE $—TOTAL]]</f>
        <v>48608.491786666666</v>
      </c>
      <c r="R22" s="39"/>
    </row>
    <row r="23" spans="2:18" ht="18.75" customHeight="1">
      <c r="B23" s="48" t="s">
        <v>206</v>
      </c>
      <c r="C23" s="78"/>
      <c r="D23" s="78"/>
      <c r="E23" s="79"/>
      <c r="F23" s="61">
        <f>SUBTOTAL(109,LBR[PROJECT TOTAL])</f>
        <v>129675</v>
      </c>
      <c r="I23" s="64" t="s">
        <v>13</v>
      </c>
      <c r="J23" s="68">
        <f>J20/J22</f>
        <v>1.3043611269611997</v>
      </c>
      <c r="R23" s="39"/>
    </row>
    <row r="24" spans="2:18" ht="15.75" customHeight="1" thickBot="1">
      <c r="B24" s="38"/>
      <c r="I24" s="64" t="s">
        <v>14</v>
      </c>
      <c r="J24" s="68">
        <f>J20/J21</f>
        <v>1.3166666666666667</v>
      </c>
      <c r="R24" s="39"/>
    </row>
    <row r="25" spans="2:18" ht="20.25" customHeight="1">
      <c r="B25" s="104" t="s">
        <v>193</v>
      </c>
      <c r="C25" s="105"/>
      <c r="D25" s="105"/>
      <c r="E25" s="105"/>
      <c r="F25" s="106"/>
      <c r="I25" s="64" t="s">
        <v>15</v>
      </c>
      <c r="J25" s="65">
        <f>J20-J22</f>
        <v>14794.535340074079</v>
      </c>
      <c r="R25" s="39"/>
    </row>
    <row r="26" spans="2:18" ht="15.75" customHeight="1">
      <c r="B26" s="46" t="s">
        <v>182</v>
      </c>
      <c r="C26" s="2" t="s">
        <v>204</v>
      </c>
      <c r="D26" s="2" t="s">
        <v>190</v>
      </c>
      <c r="E26" s="2" t="s">
        <v>191</v>
      </c>
      <c r="F26" s="2" t="s">
        <v>207</v>
      </c>
      <c r="R26" s="39"/>
    </row>
    <row r="27" spans="2:18" ht="16.5" customHeight="1">
      <c r="B27" s="47" t="s">
        <v>8</v>
      </c>
      <c r="C27" s="6">
        <v>3130</v>
      </c>
      <c r="D27" s="2">
        <v>4</v>
      </c>
      <c r="E27" s="6">
        <f>(C27/$J$19)*D27</f>
        <v>1565</v>
      </c>
      <c r="F27" s="58">
        <f>C27*D27</f>
        <v>12520</v>
      </c>
      <c r="R27" s="39"/>
    </row>
    <row r="28" spans="2:18" ht="20.25" customHeight="1" thickBot="1">
      <c r="B28" s="38"/>
      <c r="R28" s="39"/>
    </row>
    <row r="29" spans="2:18" ht="18.600000000000001">
      <c r="B29" s="113" t="s">
        <v>313</v>
      </c>
      <c r="C29" s="114"/>
      <c r="R29" s="39"/>
    </row>
    <row r="30" spans="2:18">
      <c r="B30" s="80" t="s">
        <v>322</v>
      </c>
      <c r="C30" s="69" t="s">
        <v>303</v>
      </c>
      <c r="R30" s="39"/>
    </row>
    <row r="31" spans="2:18">
      <c r="B31" s="81" t="s">
        <v>318</v>
      </c>
      <c r="C31" s="70">
        <f>SUM(DEVICE—PH!J3,143.58)</f>
        <v>391.34000000000003</v>
      </c>
      <c r="R31" s="39"/>
    </row>
    <row r="32" spans="2:18">
      <c r="B32" s="82" t="s">
        <v>319</v>
      </c>
      <c r="C32" s="70">
        <f>F27</f>
        <v>12520</v>
      </c>
      <c r="R32" s="39"/>
    </row>
    <row r="33" spans="2:18">
      <c r="B33" s="82" t="s">
        <v>320</v>
      </c>
      <c r="C33" s="70">
        <f>F23</f>
        <v>129675</v>
      </c>
      <c r="R33" s="39"/>
    </row>
    <row r="34" spans="2:18">
      <c r="B34" s="82" t="s">
        <v>311</v>
      </c>
      <c r="C34" s="70">
        <v>2000</v>
      </c>
      <c r="R34" s="39"/>
    </row>
    <row r="35" spans="2:18">
      <c r="B35" s="81" t="s">
        <v>321</v>
      </c>
      <c r="C35" s="70">
        <f>SUM('TANK—Mechanical '!J24:J28)</f>
        <v>413.3768</v>
      </c>
      <c r="R35" s="39"/>
    </row>
    <row r="36" spans="2:18" ht="17.25" customHeight="1" thickBot="1">
      <c r="B36" s="83" t="s">
        <v>323</v>
      </c>
      <c r="C36" s="71">
        <f>SUBTOTAL(109,Table1[VALUE])</f>
        <v>144999.71679999999</v>
      </c>
      <c r="R36" s="39"/>
    </row>
    <row r="37" spans="2:18" ht="20.25" customHeight="1">
      <c r="B37" s="101" t="s">
        <v>312</v>
      </c>
      <c r="C37" s="102"/>
      <c r="R37" s="39"/>
    </row>
    <row r="38" spans="2:18" ht="16.5" customHeight="1">
      <c r="B38" s="82" t="s">
        <v>322</v>
      </c>
      <c r="C38" s="72" t="s">
        <v>303</v>
      </c>
      <c r="R38" s="39"/>
    </row>
    <row r="39" spans="2:18" ht="15.75" customHeight="1" thickBot="1">
      <c r="B39" s="82" t="s">
        <v>314</v>
      </c>
      <c r="C39" s="72">
        <f>F14</f>
        <v>2128.489453333334</v>
      </c>
      <c r="R39" s="39"/>
    </row>
    <row r="40" spans="2:18" ht="15.75" customHeight="1" thickTop="1">
      <c r="B40" s="82" t="s">
        <v>315</v>
      </c>
      <c r="C40" s="72">
        <f>($F$23/15 * $J$19)</f>
        <v>69160</v>
      </c>
      <c r="L40" s="87" t="s">
        <v>327</v>
      </c>
      <c r="M40" s="88"/>
      <c r="N40" s="88"/>
      <c r="O40" s="88"/>
      <c r="P40" s="91">
        <f>Milestones[[#Totals],[TRUE $—TOTAL]]</f>
        <v>48608.491786666666</v>
      </c>
      <c r="Q40" s="91"/>
      <c r="R40" s="92"/>
    </row>
    <row r="41" spans="2:18" ht="16.5" customHeight="1">
      <c r="B41" s="82" t="s">
        <v>316</v>
      </c>
      <c r="C41" s="72">
        <f>($F$27/15*$J$19)</f>
        <v>6677.333333333333</v>
      </c>
      <c r="L41" s="89"/>
      <c r="M41" s="90"/>
      <c r="N41" s="90"/>
      <c r="O41" s="90"/>
      <c r="P41" s="93"/>
      <c r="Q41" s="93"/>
      <c r="R41" s="94"/>
    </row>
    <row r="42" spans="2:18" ht="16.5" customHeight="1">
      <c r="B42" s="82" t="s">
        <v>317</v>
      </c>
      <c r="C42" s="72">
        <f>O6-C43</f>
        <v>796.78165333333345</v>
      </c>
      <c r="L42" s="89" t="s">
        <v>328</v>
      </c>
      <c r="M42" s="90"/>
      <c r="N42" s="90"/>
      <c r="O42" s="90"/>
      <c r="P42" s="93">
        <f>C45</f>
        <v>65823.735560000001</v>
      </c>
      <c r="Q42" s="93"/>
      <c r="R42" s="94"/>
    </row>
    <row r="43" spans="2:18" ht="15.75" customHeight="1">
      <c r="B43" s="82" t="s">
        <v>310</v>
      </c>
      <c r="C43" s="70">
        <f>C35</f>
        <v>413.3768</v>
      </c>
      <c r="L43" s="89"/>
      <c r="M43" s="90"/>
      <c r="N43" s="90"/>
      <c r="O43" s="90"/>
      <c r="P43" s="93"/>
      <c r="Q43" s="93"/>
      <c r="R43" s="94"/>
    </row>
    <row r="44" spans="2:18" ht="16.5" customHeight="1" thickBot="1">
      <c r="B44" s="84" t="s">
        <v>323</v>
      </c>
      <c r="C44" s="73">
        <f>SUBTOTAL(109,Table15[VALUE])</f>
        <v>79175.981239999994</v>
      </c>
      <c r="L44" s="89" t="s">
        <v>326</v>
      </c>
      <c r="M44" s="90"/>
      <c r="N44" s="90"/>
      <c r="O44" s="90"/>
      <c r="P44" s="97">
        <v>144462.59345333333</v>
      </c>
      <c r="Q44" s="97"/>
      <c r="R44" s="98"/>
    </row>
    <row r="45" spans="2:18" ht="16.5" customHeight="1" thickBot="1">
      <c r="B45" s="85" t="s">
        <v>325</v>
      </c>
      <c r="C45" s="86">
        <f>SUM(C36,-C44)</f>
        <v>65823.735560000001</v>
      </c>
      <c r="D45" s="49"/>
      <c r="E45" s="49"/>
      <c r="F45" s="49"/>
      <c r="G45" s="49"/>
      <c r="H45" s="49"/>
      <c r="I45" s="49"/>
      <c r="J45" s="49"/>
      <c r="K45" s="49"/>
      <c r="L45" s="95"/>
      <c r="M45" s="96"/>
      <c r="N45" s="96"/>
      <c r="O45" s="96"/>
      <c r="P45" s="99"/>
      <c r="Q45" s="99"/>
      <c r="R45" s="100"/>
    </row>
    <row r="46" spans="2:18" ht="16.2" thickTop="1"/>
  </sheetData>
  <mergeCells count="14">
    <mergeCell ref="B37:C37"/>
    <mergeCell ref="A1:C1"/>
    <mergeCell ref="B16:F16"/>
    <mergeCell ref="B25:F25"/>
    <mergeCell ref="I3:R3"/>
    <mergeCell ref="I16:J16"/>
    <mergeCell ref="B3:F3"/>
    <mergeCell ref="B29:C29"/>
    <mergeCell ref="L40:O41"/>
    <mergeCell ref="P40:R41"/>
    <mergeCell ref="L42:O43"/>
    <mergeCell ref="P42:R43"/>
    <mergeCell ref="L44:O45"/>
    <mergeCell ref="P44:R45"/>
  </mergeCells>
  <hyperlinks>
    <hyperlink ref="A1" location="'Table of Contents'!A1" display="Return to Table of Contents" xr:uid="{F79CB2F1-F9BB-49D9-B526-E5265F1141F5}"/>
  </hyperlinks>
  <pageMargins left="0.25" right="0.25" top="0.75" bottom="0.75" header="0.3" footer="0.3"/>
  <pageSetup paperSize="5" scale="49" orientation="landscape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76A3-24E3-8F47-A1EF-29181AC7BF04}">
  <dimension ref="A1:O22"/>
  <sheetViews>
    <sheetView zoomScale="85" zoomScaleNormal="85" workbookViewId="0"/>
  </sheetViews>
  <sheetFormatPr defaultColWidth="11" defaultRowHeight="15.6"/>
  <cols>
    <col min="1" max="1" width="37.59765625" style="10" bestFit="1" customWidth="1"/>
    <col min="2" max="2" width="29.5" style="10" bestFit="1" customWidth="1"/>
    <col min="3" max="3" width="26.5" style="10" bestFit="1" customWidth="1"/>
    <col min="4" max="4" width="11.69921875" style="10" bestFit="1" customWidth="1"/>
    <col min="5" max="5" width="38.5" style="10" bestFit="1" customWidth="1"/>
    <col min="6" max="6" width="10.69921875" style="10" bestFit="1" customWidth="1"/>
    <col min="7" max="7" width="8.09765625" style="10" bestFit="1" customWidth="1"/>
    <col min="8" max="8" width="8.59765625" style="10" bestFit="1" customWidth="1"/>
    <col min="9" max="9" width="14" style="10" bestFit="1" customWidth="1"/>
    <col min="10" max="10" width="10.59765625" style="10" bestFit="1" customWidth="1"/>
    <col min="11" max="11" width="7.59765625" style="10" bestFit="1" customWidth="1"/>
    <col min="12" max="12" width="26.8984375" style="10" bestFit="1" customWidth="1"/>
    <col min="13" max="13" width="12.5" style="10" bestFit="1" customWidth="1"/>
    <col min="14" max="14" width="4.8984375" style="10" bestFit="1" customWidth="1"/>
    <col min="15" max="15" width="22.5" style="10" bestFit="1" customWidth="1"/>
    <col min="16" max="16384" width="11" style="10"/>
  </cols>
  <sheetData>
    <row r="1" spans="1:15">
      <c r="A1" s="55" t="s">
        <v>309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1" t="s">
        <v>222</v>
      </c>
      <c r="N2" s="1" t="s">
        <v>17</v>
      </c>
      <c r="O2" s="1" t="s">
        <v>276</v>
      </c>
    </row>
    <row r="3" spans="1:15">
      <c r="A3" s="1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>
        <v>6</v>
      </c>
      <c r="G3" s="2" t="s">
        <v>23</v>
      </c>
      <c r="H3" s="11">
        <v>0.184</v>
      </c>
      <c r="I3" s="3"/>
      <c r="J3" s="3">
        <v>1.1040000000000001</v>
      </c>
      <c r="K3" s="2"/>
      <c r="L3" s="2" t="s">
        <v>24</v>
      </c>
      <c r="M3" s="1"/>
      <c r="N3" s="21"/>
      <c r="O3" s="1"/>
    </row>
    <row r="4" spans="1:15">
      <c r="A4" s="1" t="s">
        <v>25</v>
      </c>
      <c r="B4" s="2" t="s">
        <v>26</v>
      </c>
      <c r="C4" s="2" t="s">
        <v>27</v>
      </c>
      <c r="D4" s="2" t="s">
        <v>21</v>
      </c>
      <c r="E4" s="2" t="s">
        <v>28</v>
      </c>
      <c r="F4" s="2">
        <v>2</v>
      </c>
      <c r="G4" s="2" t="s">
        <v>23</v>
      </c>
      <c r="H4" s="3">
        <v>1.08</v>
      </c>
      <c r="I4" s="3"/>
      <c r="J4" s="3">
        <v>2.16</v>
      </c>
      <c r="K4" s="2"/>
      <c r="L4" s="2" t="s">
        <v>24</v>
      </c>
      <c r="M4" s="1"/>
      <c r="N4" s="21"/>
      <c r="O4" s="1"/>
    </row>
    <row r="5" spans="1:15">
      <c r="A5" s="1" t="s">
        <v>29</v>
      </c>
      <c r="B5" s="2" t="s">
        <v>30</v>
      </c>
      <c r="C5" s="2" t="s">
        <v>31</v>
      </c>
      <c r="D5" s="2" t="s">
        <v>21</v>
      </c>
      <c r="E5" s="2" t="s">
        <v>32</v>
      </c>
      <c r="F5" s="2">
        <v>4</v>
      </c>
      <c r="G5" s="2" t="s">
        <v>23</v>
      </c>
      <c r="H5" s="11">
        <v>3.6999999999999998E-2</v>
      </c>
      <c r="I5" s="3"/>
      <c r="J5" s="3">
        <v>0.14799999999999999</v>
      </c>
      <c r="K5" s="2"/>
      <c r="L5" s="2" t="s">
        <v>24</v>
      </c>
      <c r="M5" s="1"/>
      <c r="N5" s="21"/>
      <c r="O5" s="1"/>
    </row>
    <row r="6" spans="1:15">
      <c r="A6" s="1" t="s">
        <v>33</v>
      </c>
      <c r="B6" s="2" t="s">
        <v>19</v>
      </c>
      <c r="C6" s="2" t="s">
        <v>34</v>
      </c>
      <c r="D6" s="2" t="s">
        <v>21</v>
      </c>
      <c r="E6" s="2" t="s">
        <v>35</v>
      </c>
      <c r="F6" s="2">
        <v>2</v>
      </c>
      <c r="G6" s="2" t="s">
        <v>23</v>
      </c>
      <c r="H6" s="3">
        <v>0.19</v>
      </c>
      <c r="I6" s="3"/>
      <c r="J6" s="3">
        <v>0.38</v>
      </c>
      <c r="K6" s="2"/>
      <c r="L6" s="2" t="s">
        <v>24</v>
      </c>
      <c r="M6" s="1"/>
      <c r="N6" s="21"/>
      <c r="O6" s="1"/>
    </row>
    <row r="7" spans="1:15">
      <c r="A7" s="1" t="s">
        <v>36</v>
      </c>
      <c r="B7" s="2" t="s">
        <v>30</v>
      </c>
      <c r="C7" s="2" t="s">
        <v>37</v>
      </c>
      <c r="D7" s="2" t="s">
        <v>21</v>
      </c>
      <c r="E7" s="2" t="s">
        <v>38</v>
      </c>
      <c r="F7" s="2">
        <v>1</v>
      </c>
      <c r="G7" s="2" t="s">
        <v>23</v>
      </c>
      <c r="H7" s="3">
        <v>0.16</v>
      </c>
      <c r="I7" s="3"/>
      <c r="J7" s="3">
        <v>0.16</v>
      </c>
      <c r="K7" s="2"/>
      <c r="L7" s="2" t="s">
        <v>24</v>
      </c>
      <c r="M7" s="1"/>
      <c r="N7" s="21"/>
      <c r="O7" s="1"/>
    </row>
    <row r="8" spans="1:15">
      <c r="A8" s="1" t="s">
        <v>39</v>
      </c>
      <c r="B8" s="2" t="s">
        <v>40</v>
      </c>
      <c r="C8" s="2" t="s">
        <v>41</v>
      </c>
      <c r="D8" s="2" t="s">
        <v>21</v>
      </c>
      <c r="E8" s="2" t="s">
        <v>42</v>
      </c>
      <c r="F8" s="2">
        <v>1</v>
      </c>
      <c r="G8" s="2" t="s">
        <v>23</v>
      </c>
      <c r="H8" s="3">
        <v>0.56000000000000005</v>
      </c>
      <c r="I8" s="3"/>
      <c r="J8" s="3">
        <v>0.56000000000000005</v>
      </c>
      <c r="K8" s="2"/>
      <c r="L8" s="2" t="s">
        <v>24</v>
      </c>
      <c r="M8" s="1"/>
      <c r="N8" s="21"/>
      <c r="O8" s="1"/>
    </row>
    <row r="9" spans="1:15">
      <c r="A9" s="1" t="s">
        <v>43</v>
      </c>
      <c r="B9" s="2" t="s">
        <v>44</v>
      </c>
      <c r="C9" s="2" t="s">
        <v>45</v>
      </c>
      <c r="D9" s="2" t="s">
        <v>21</v>
      </c>
      <c r="E9" s="2" t="s">
        <v>46</v>
      </c>
      <c r="F9" s="2">
        <v>1</v>
      </c>
      <c r="G9" s="2" t="s">
        <v>23</v>
      </c>
      <c r="H9" s="3">
        <v>0.28000000000000003</v>
      </c>
      <c r="I9" s="3"/>
      <c r="J9" s="3">
        <v>0.28000000000000003</v>
      </c>
      <c r="K9" s="2"/>
      <c r="L9" s="2" t="s">
        <v>24</v>
      </c>
      <c r="M9" s="1"/>
      <c r="N9" s="21"/>
      <c r="O9" s="1"/>
    </row>
    <row r="10" spans="1:15">
      <c r="A10" s="1" t="s">
        <v>47</v>
      </c>
      <c r="B10" s="2" t="s">
        <v>48</v>
      </c>
      <c r="C10" s="2" t="s">
        <v>49</v>
      </c>
      <c r="D10" s="2" t="s">
        <v>21</v>
      </c>
      <c r="E10" s="2" t="s">
        <v>50</v>
      </c>
      <c r="F10" s="2">
        <v>1</v>
      </c>
      <c r="G10" s="2" t="s">
        <v>23</v>
      </c>
      <c r="H10" s="3">
        <v>4.26</v>
      </c>
      <c r="I10" s="3"/>
      <c r="J10" s="3">
        <v>4.26</v>
      </c>
      <c r="K10" s="2"/>
      <c r="L10" s="2" t="s">
        <v>24</v>
      </c>
      <c r="M10" s="1"/>
      <c r="N10" s="21"/>
      <c r="O10" s="1"/>
    </row>
    <row r="11" spans="1:15">
      <c r="A11" s="1" t="s">
        <v>51</v>
      </c>
      <c r="B11" s="2" t="s">
        <v>52</v>
      </c>
      <c r="C11" s="2" t="s">
        <v>53</v>
      </c>
      <c r="D11" s="2" t="s">
        <v>21</v>
      </c>
      <c r="E11" s="2" t="s">
        <v>54</v>
      </c>
      <c r="F11" s="2">
        <v>1</v>
      </c>
      <c r="G11" s="2" t="s">
        <v>23</v>
      </c>
      <c r="H11" s="3">
        <v>1.44</v>
      </c>
      <c r="I11" s="3"/>
      <c r="J11" s="3">
        <v>1.44</v>
      </c>
      <c r="K11" s="2"/>
      <c r="L11" s="2" t="s">
        <v>24</v>
      </c>
      <c r="M11" s="1"/>
      <c r="N11" s="21"/>
      <c r="O11" s="1"/>
    </row>
    <row r="12" spans="1:15">
      <c r="A12" s="1" t="s">
        <v>55</v>
      </c>
      <c r="B12" s="2" t="s">
        <v>19</v>
      </c>
      <c r="C12" s="2" t="s">
        <v>56</v>
      </c>
      <c r="D12" s="2" t="s">
        <v>21</v>
      </c>
      <c r="E12" s="2" t="s">
        <v>57</v>
      </c>
      <c r="F12" s="2">
        <v>1</v>
      </c>
      <c r="G12" s="2" t="s">
        <v>23</v>
      </c>
      <c r="H12" s="3">
        <v>0.15</v>
      </c>
      <c r="I12" s="3"/>
      <c r="J12" s="3">
        <v>0.15</v>
      </c>
      <c r="K12" s="2"/>
      <c r="L12" s="2" t="s">
        <v>24</v>
      </c>
      <c r="M12" s="1"/>
      <c r="N12" s="21"/>
      <c r="O12" s="1"/>
    </row>
    <row r="13" spans="1:15">
      <c r="A13" s="1" t="s">
        <v>58</v>
      </c>
      <c r="B13" s="2" t="s">
        <v>19</v>
      </c>
      <c r="C13" s="2" t="s">
        <v>59</v>
      </c>
      <c r="D13" s="2" t="s">
        <v>21</v>
      </c>
      <c r="E13" s="2" t="s">
        <v>60</v>
      </c>
      <c r="F13" s="2">
        <v>2</v>
      </c>
      <c r="G13" s="2" t="s">
        <v>23</v>
      </c>
      <c r="H13" s="3">
        <v>0.25</v>
      </c>
      <c r="I13" s="3"/>
      <c r="J13" s="3">
        <v>0.5</v>
      </c>
      <c r="K13" s="2"/>
      <c r="L13" s="2" t="s">
        <v>24</v>
      </c>
      <c r="M13" s="1"/>
      <c r="N13" s="21"/>
      <c r="O13" s="1"/>
    </row>
    <row r="14" spans="1:15">
      <c r="A14" s="1" t="s">
        <v>61</v>
      </c>
      <c r="B14" s="2" t="s">
        <v>19</v>
      </c>
      <c r="C14" s="2" t="s">
        <v>62</v>
      </c>
      <c r="D14" s="2" t="s">
        <v>21</v>
      </c>
      <c r="E14" s="2" t="s">
        <v>63</v>
      </c>
      <c r="F14" s="2">
        <v>1</v>
      </c>
      <c r="G14" s="2" t="s">
        <v>23</v>
      </c>
      <c r="H14" s="3">
        <v>0.15</v>
      </c>
      <c r="I14" s="3"/>
      <c r="J14" s="3">
        <v>0.15</v>
      </c>
      <c r="K14" s="2"/>
      <c r="L14" s="2" t="s">
        <v>24</v>
      </c>
      <c r="M14" s="1"/>
      <c r="N14" s="21"/>
      <c r="O14" s="1"/>
    </row>
    <row r="15" spans="1:15">
      <c r="A15" s="1" t="s">
        <v>64</v>
      </c>
      <c r="B15" s="2" t="s">
        <v>19</v>
      </c>
      <c r="C15" s="2" t="s">
        <v>65</v>
      </c>
      <c r="D15" s="2" t="s">
        <v>21</v>
      </c>
      <c r="E15" s="2" t="s">
        <v>66</v>
      </c>
      <c r="F15" s="2">
        <v>1</v>
      </c>
      <c r="G15" s="2" t="s">
        <v>23</v>
      </c>
      <c r="H15" s="3">
        <v>0.15</v>
      </c>
      <c r="I15" s="3"/>
      <c r="J15" s="3">
        <v>0.15</v>
      </c>
      <c r="K15" s="2"/>
      <c r="L15" s="2" t="s">
        <v>24</v>
      </c>
      <c r="M15" s="1"/>
      <c r="N15" s="21"/>
      <c r="O15" s="1"/>
    </row>
    <row r="16" spans="1:15">
      <c r="A16" s="1" t="s">
        <v>67</v>
      </c>
      <c r="B16" s="2" t="s">
        <v>19</v>
      </c>
      <c r="C16" s="2" t="s">
        <v>68</v>
      </c>
      <c r="D16" s="2" t="s">
        <v>21</v>
      </c>
      <c r="E16" s="2" t="s">
        <v>69</v>
      </c>
      <c r="F16" s="2">
        <v>2</v>
      </c>
      <c r="G16" s="2" t="s">
        <v>23</v>
      </c>
      <c r="H16" s="3">
        <v>0.15</v>
      </c>
      <c r="I16" s="3"/>
      <c r="J16" s="3">
        <v>0.3</v>
      </c>
      <c r="K16" s="2"/>
      <c r="L16" s="2" t="s">
        <v>24</v>
      </c>
      <c r="M16" s="1"/>
      <c r="N16" s="21"/>
      <c r="O16" s="1"/>
    </row>
    <row r="17" spans="1:15">
      <c r="A17" s="1" t="s">
        <v>70</v>
      </c>
      <c r="B17" s="2" t="s">
        <v>71</v>
      </c>
      <c r="C17" s="2" t="s">
        <v>72</v>
      </c>
      <c r="D17" s="2" t="s">
        <v>21</v>
      </c>
      <c r="E17" s="2" t="s">
        <v>73</v>
      </c>
      <c r="F17" s="2">
        <v>2</v>
      </c>
      <c r="G17" s="2" t="s">
        <v>23</v>
      </c>
      <c r="H17" s="3">
        <v>0.28000000000000003</v>
      </c>
      <c r="I17" s="3"/>
      <c r="J17" s="3">
        <v>0.56000000000000005</v>
      </c>
      <c r="K17" s="2"/>
      <c r="L17" s="2" t="s">
        <v>24</v>
      </c>
      <c r="M17" s="1"/>
      <c r="N17" s="21"/>
      <c r="O17" s="1"/>
    </row>
    <row r="18" spans="1:15">
      <c r="A18" s="1" t="s">
        <v>74</v>
      </c>
      <c r="B18" s="2" t="s">
        <v>75</v>
      </c>
      <c r="C18" s="2" t="s">
        <v>76</v>
      </c>
      <c r="D18" s="2" t="s">
        <v>21</v>
      </c>
      <c r="E18" s="2" t="s">
        <v>77</v>
      </c>
      <c r="F18" s="2">
        <v>1</v>
      </c>
      <c r="G18" s="2" t="s">
        <v>23</v>
      </c>
      <c r="H18" s="3">
        <v>5.04</v>
      </c>
      <c r="I18" s="3"/>
      <c r="J18" s="3">
        <v>5.04</v>
      </c>
      <c r="K18" s="2"/>
      <c r="L18" s="2" t="s">
        <v>24</v>
      </c>
      <c r="M18" s="1"/>
      <c r="N18" s="21"/>
      <c r="O18" s="1"/>
    </row>
    <row r="19" spans="1:15">
      <c r="A19" s="1" t="s">
        <v>78</v>
      </c>
      <c r="B19" s="2" t="s">
        <v>79</v>
      </c>
      <c r="C19" s="2" t="s">
        <v>80</v>
      </c>
      <c r="D19" s="2" t="s">
        <v>21</v>
      </c>
      <c r="E19" s="2" t="s">
        <v>81</v>
      </c>
      <c r="F19" s="2">
        <v>1</v>
      </c>
      <c r="G19" s="2" t="s">
        <v>23</v>
      </c>
      <c r="H19" s="3">
        <v>2.09</v>
      </c>
      <c r="I19" s="3"/>
      <c r="J19" s="3">
        <v>2.09</v>
      </c>
      <c r="K19" s="2"/>
      <c r="L19" s="2" t="s">
        <v>24</v>
      </c>
      <c r="M19" s="1"/>
      <c r="N19" s="21"/>
      <c r="O19" s="1"/>
    </row>
    <row r="20" spans="1:15">
      <c r="A20" s="1" t="s">
        <v>82</v>
      </c>
      <c r="B20" s="2" t="s">
        <v>40</v>
      </c>
      <c r="C20" s="2" t="s">
        <v>83</v>
      </c>
      <c r="D20" s="2" t="s">
        <v>21</v>
      </c>
      <c r="E20" s="2" t="s">
        <v>84</v>
      </c>
      <c r="F20" s="2">
        <v>1</v>
      </c>
      <c r="G20" s="2" t="s">
        <v>23</v>
      </c>
      <c r="H20" s="3">
        <v>0.54</v>
      </c>
      <c r="I20" s="3"/>
      <c r="J20" s="3">
        <v>0.54</v>
      </c>
      <c r="K20" s="2"/>
      <c r="L20" s="2" t="s">
        <v>24</v>
      </c>
      <c r="M20" s="1"/>
      <c r="N20" s="21"/>
      <c r="O20" s="1"/>
    </row>
    <row r="21" spans="1:15">
      <c r="A21" s="1" t="s">
        <v>85</v>
      </c>
      <c r="B21" s="2" t="s">
        <v>86</v>
      </c>
      <c r="C21" s="2" t="s">
        <v>87</v>
      </c>
      <c r="D21" s="2" t="s">
        <v>21</v>
      </c>
      <c r="E21" s="2" t="s">
        <v>88</v>
      </c>
      <c r="F21" s="2">
        <v>1</v>
      </c>
      <c r="G21" s="2" t="s">
        <v>23</v>
      </c>
      <c r="H21" s="3">
        <v>2.92</v>
      </c>
      <c r="I21" s="3"/>
      <c r="J21" s="3">
        <v>2.92</v>
      </c>
      <c r="K21" s="2"/>
      <c r="L21" s="2" t="s">
        <v>24</v>
      </c>
      <c r="M21" s="1"/>
      <c r="N21" s="21"/>
      <c r="O21" s="1"/>
    </row>
    <row r="22" spans="1:15">
      <c r="A22" s="1" t="s">
        <v>219</v>
      </c>
      <c r="B22" s="2"/>
      <c r="C22" s="2"/>
      <c r="D22" s="2" t="s">
        <v>89</v>
      </c>
      <c r="E22" s="2"/>
      <c r="F22" s="2">
        <v>20</v>
      </c>
      <c r="G22" s="2" t="s">
        <v>90</v>
      </c>
      <c r="H22" s="3">
        <v>1.4599999999999998E-2</v>
      </c>
      <c r="I22" s="3"/>
      <c r="J22" s="3">
        <v>0.29199999999999998</v>
      </c>
      <c r="K22" s="2" t="s">
        <v>2</v>
      </c>
      <c r="L22" s="2" t="s">
        <v>24</v>
      </c>
      <c r="M22" s="1"/>
      <c r="N22" s="21"/>
      <c r="O22" s="1"/>
    </row>
  </sheetData>
  <dataValidations count="3">
    <dataValidation type="list" allowBlank="1" showInputMessage="1" showErrorMessage="1" sqref="K3:K22" xr:uid="{3DD69AE4-934B-489E-99FE-1395D8B5CAD0}">
      <formula1>Payees</formula1>
    </dataValidation>
    <dataValidation type="list" allowBlank="1" showInputMessage="1" showErrorMessage="1" sqref="G3:G22" xr:uid="{8CF21AF3-001E-4D49-8F80-1426DBEC7E45}">
      <formula1>Unit_Options</formula1>
    </dataValidation>
    <dataValidation type="list" allowBlank="1" showInputMessage="1" showErrorMessage="1" sqref="L3:L22" xr:uid="{F52E0DA6-E12E-44E3-B984-FF35C87B9900}">
      <formula1>Y_N</formula1>
    </dataValidation>
  </dataValidations>
  <hyperlinks>
    <hyperlink ref="A1" location="'Table of Contents'!A1" display="Return to Table of Contents" xr:uid="{EE796E0F-3B4F-46D4-B5EA-E3A746DFC29F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5509-B29B-4340-BDC7-1EAC43A9097A}">
  <dimension ref="A1:O37"/>
  <sheetViews>
    <sheetView zoomScale="70" zoomScaleNormal="70" workbookViewId="0">
      <selection activeCell="C25" sqref="C25"/>
    </sheetView>
  </sheetViews>
  <sheetFormatPr defaultColWidth="8.69921875" defaultRowHeight="15.6"/>
  <cols>
    <col min="1" max="1" width="38.5" style="10" bestFit="1" customWidth="1"/>
    <col min="2" max="2" width="34.19921875" style="10" bestFit="1" customWidth="1"/>
    <col min="3" max="3" width="26.19921875" style="10" bestFit="1" customWidth="1"/>
    <col min="4" max="4" width="10.69921875" style="10" bestFit="1" customWidth="1"/>
    <col min="5" max="5" width="13.59765625" style="10" bestFit="1" customWidth="1"/>
    <col min="6" max="6" width="10.5" style="10" bestFit="1" customWidth="1"/>
    <col min="7" max="7" width="7.8984375" style="10" bestFit="1" customWidth="1"/>
    <col min="8" max="8" width="8.09765625" style="10" bestFit="1" customWidth="1"/>
    <col min="9" max="9" width="13.69921875" style="10" bestFit="1" customWidth="1"/>
    <col min="10" max="10" width="10.19921875" style="10" bestFit="1" customWidth="1"/>
    <col min="11" max="11" width="7.5" style="10" bestFit="1" customWidth="1"/>
    <col min="12" max="12" width="26.09765625" style="10" bestFit="1" customWidth="1"/>
    <col min="13" max="13" width="12.8984375" style="10" customWidth="1"/>
    <col min="14" max="14" width="241.59765625" style="10" customWidth="1"/>
    <col min="15" max="15" width="38" style="10" bestFit="1" customWidth="1"/>
    <col min="16" max="16384" width="8.69921875" style="10"/>
  </cols>
  <sheetData>
    <row r="1" spans="1:15">
      <c r="A1" s="55" t="s">
        <v>309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3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1" t="s">
        <v>276</v>
      </c>
    </row>
    <row r="3" spans="1:15">
      <c r="A3" s="1" t="s">
        <v>18</v>
      </c>
      <c r="B3" s="2" t="s">
        <v>19</v>
      </c>
      <c r="C3" s="2" t="s">
        <v>20</v>
      </c>
      <c r="D3" s="8"/>
      <c r="E3" s="2"/>
      <c r="F3" s="2">
        <v>7</v>
      </c>
      <c r="G3" s="2" t="s">
        <v>23</v>
      </c>
      <c r="H3" s="3">
        <v>0.27</v>
      </c>
      <c r="I3" s="3"/>
      <c r="J3" s="3">
        <f>Table8[[#This Row],[$/UNIT]]*Table8[[#This Row],['#—TOTAL]]</f>
        <v>1.8900000000000001</v>
      </c>
      <c r="K3" s="2"/>
      <c r="L3" s="2"/>
      <c r="M3" s="12"/>
      <c r="N3" s="18"/>
      <c r="O3" s="7"/>
    </row>
    <row r="4" spans="1:15">
      <c r="A4" s="1" t="s">
        <v>29</v>
      </c>
      <c r="B4" s="2" t="s">
        <v>19</v>
      </c>
      <c r="C4" s="2" t="s">
        <v>91</v>
      </c>
      <c r="D4" s="8"/>
      <c r="E4" s="2"/>
      <c r="F4" s="2">
        <v>5</v>
      </c>
      <c r="G4" s="2" t="s">
        <v>23</v>
      </c>
      <c r="H4" s="3">
        <v>0.14000000000000001</v>
      </c>
      <c r="I4" s="3"/>
      <c r="J4" s="3">
        <f>Table8[[#This Row],[$/UNIT]]*Table8[[#This Row],['#—TOTAL]]</f>
        <v>0.70000000000000007</v>
      </c>
      <c r="K4" s="2"/>
      <c r="L4" s="2"/>
      <c r="M4" s="12"/>
      <c r="N4" s="18"/>
      <c r="O4" s="7"/>
    </row>
    <row r="5" spans="1:15">
      <c r="A5" s="1" t="s">
        <v>25</v>
      </c>
      <c r="B5" s="2" t="s">
        <v>26</v>
      </c>
      <c r="C5" s="2" t="s">
        <v>27</v>
      </c>
      <c r="D5" s="8"/>
      <c r="E5" s="2"/>
      <c r="F5" s="2">
        <v>3</v>
      </c>
      <c r="G5" s="2" t="s">
        <v>23</v>
      </c>
      <c r="H5" s="3">
        <v>1.07</v>
      </c>
      <c r="I5" s="3"/>
      <c r="J5" s="3">
        <f>Table8[[#This Row],[$/UNIT]]*Table8[[#This Row],['#—TOTAL]]</f>
        <v>3.21</v>
      </c>
      <c r="K5" s="2"/>
      <c r="L5" s="2"/>
      <c r="M5" s="12"/>
      <c r="N5" s="18"/>
      <c r="O5" s="7"/>
    </row>
    <row r="6" spans="1:15">
      <c r="A6" s="1" t="s">
        <v>92</v>
      </c>
      <c r="B6" s="2" t="s">
        <v>19</v>
      </c>
      <c r="C6" s="2" t="s">
        <v>93</v>
      </c>
      <c r="D6" s="8"/>
      <c r="E6" s="2"/>
      <c r="F6" s="2">
        <v>2</v>
      </c>
      <c r="G6" s="2" t="s">
        <v>23</v>
      </c>
      <c r="H6" s="3">
        <v>0.4</v>
      </c>
      <c r="I6" s="3"/>
      <c r="J6" s="3">
        <f>Table8[[#This Row],[$/UNIT]]*Table8[[#This Row],['#—TOTAL]]</f>
        <v>0.8</v>
      </c>
      <c r="K6" s="2"/>
      <c r="L6" s="2"/>
      <c r="M6" s="12"/>
      <c r="N6" s="18"/>
      <c r="O6" s="7"/>
    </row>
    <row r="7" spans="1:15">
      <c r="A7" s="1" t="s">
        <v>43</v>
      </c>
      <c r="B7" s="2" t="s">
        <v>44</v>
      </c>
      <c r="C7" s="2" t="s">
        <v>45</v>
      </c>
      <c r="D7" s="8"/>
      <c r="E7" s="2"/>
      <c r="F7" s="2">
        <v>2</v>
      </c>
      <c r="G7" s="2" t="s">
        <v>23</v>
      </c>
      <c r="H7" s="3">
        <v>0.27</v>
      </c>
      <c r="I7" s="3"/>
      <c r="J7" s="3">
        <f>Table8[[#This Row],[$/UNIT]]*Table8[[#This Row],['#—TOTAL]]</f>
        <v>0.54</v>
      </c>
      <c r="K7" s="2"/>
      <c r="L7" s="2"/>
      <c r="M7" s="12"/>
      <c r="N7" s="18"/>
      <c r="O7" s="7"/>
    </row>
    <row r="8" spans="1:15">
      <c r="A8" s="1" t="s">
        <v>39</v>
      </c>
      <c r="B8" s="2" t="s">
        <v>40</v>
      </c>
      <c r="C8" s="2" t="s">
        <v>41</v>
      </c>
      <c r="D8" s="8"/>
      <c r="E8" s="2"/>
      <c r="F8" s="2">
        <v>1</v>
      </c>
      <c r="G8" s="2" t="s">
        <v>23</v>
      </c>
      <c r="H8" s="3">
        <v>0.56999999999999995</v>
      </c>
      <c r="I8" s="3"/>
      <c r="J8" s="3">
        <f>Table8[[#This Row],[$/UNIT]]*Table8[[#This Row],['#—TOTAL]]</f>
        <v>0.56999999999999995</v>
      </c>
      <c r="K8" s="2"/>
      <c r="L8" s="2"/>
      <c r="M8" s="12"/>
      <c r="N8" s="18"/>
      <c r="O8" s="7"/>
    </row>
    <row r="9" spans="1:15">
      <c r="A9" s="1" t="s">
        <v>94</v>
      </c>
      <c r="B9" s="2" t="s">
        <v>86</v>
      </c>
      <c r="C9" s="2" t="s">
        <v>95</v>
      </c>
      <c r="D9" s="8"/>
      <c r="E9" s="2"/>
      <c r="F9" s="2">
        <v>1</v>
      </c>
      <c r="G9" s="2" t="s">
        <v>23</v>
      </c>
      <c r="H9" s="3">
        <v>5.09</v>
      </c>
      <c r="I9" s="3"/>
      <c r="J9" s="3">
        <f>Table8[[#This Row],[$/UNIT]]*Table8[[#This Row],['#—TOTAL]]</f>
        <v>5.09</v>
      </c>
      <c r="K9" s="2"/>
      <c r="L9" s="2"/>
      <c r="M9" s="12"/>
      <c r="N9" s="18"/>
      <c r="O9" s="7"/>
    </row>
    <row r="10" spans="1:15">
      <c r="A10" s="1" t="s">
        <v>96</v>
      </c>
      <c r="B10" s="2" t="s">
        <v>97</v>
      </c>
      <c r="C10" s="2" t="s">
        <v>98</v>
      </c>
      <c r="D10" s="8"/>
      <c r="E10" s="2"/>
      <c r="F10" s="2">
        <v>1</v>
      </c>
      <c r="G10" s="2" t="s">
        <v>23</v>
      </c>
      <c r="H10" s="3">
        <v>0.5</v>
      </c>
      <c r="I10" s="3"/>
      <c r="J10" s="3">
        <f>Table8[[#This Row],[$/UNIT]]*Table8[[#This Row],['#—TOTAL]]</f>
        <v>0.5</v>
      </c>
      <c r="K10" s="2"/>
      <c r="L10" s="2"/>
      <c r="M10" s="12"/>
      <c r="N10" s="18"/>
      <c r="O10" s="7"/>
    </row>
    <row r="11" spans="1:15">
      <c r="A11" s="1" t="s">
        <v>51</v>
      </c>
      <c r="B11" s="2" t="s">
        <v>52</v>
      </c>
      <c r="C11" s="2" t="s">
        <v>53</v>
      </c>
      <c r="D11" s="8"/>
      <c r="E11" s="2"/>
      <c r="F11" s="2">
        <v>1</v>
      </c>
      <c r="G11" s="2" t="s">
        <v>23</v>
      </c>
      <c r="H11" s="3">
        <v>1.42</v>
      </c>
      <c r="I11" s="3"/>
      <c r="J11" s="3">
        <f>Table8[[#This Row],[$/UNIT]]*Table8[[#This Row],['#—TOTAL]]</f>
        <v>1.42</v>
      </c>
      <c r="K11" s="2"/>
      <c r="L11" s="2"/>
      <c r="M11" s="12"/>
      <c r="N11" s="18"/>
      <c r="O11" s="7"/>
    </row>
    <row r="12" spans="1:15">
      <c r="A12" s="1" t="s">
        <v>99</v>
      </c>
      <c r="B12" s="2" t="s">
        <v>44</v>
      </c>
      <c r="C12" s="2" t="s">
        <v>100</v>
      </c>
      <c r="D12" s="8"/>
      <c r="E12" s="2"/>
      <c r="F12" s="2">
        <v>1</v>
      </c>
      <c r="G12" s="2" t="s">
        <v>23</v>
      </c>
      <c r="H12" s="3">
        <v>1.45</v>
      </c>
      <c r="I12" s="3"/>
      <c r="J12" s="3">
        <f>Table8[[#This Row],[$/UNIT]]*Table8[[#This Row],['#—TOTAL]]</f>
        <v>1.45</v>
      </c>
      <c r="K12" s="2"/>
      <c r="L12" s="2"/>
      <c r="M12" s="12"/>
      <c r="N12" s="18"/>
      <c r="O12" s="7"/>
    </row>
    <row r="13" spans="1:15">
      <c r="A13" s="1" t="s">
        <v>47</v>
      </c>
      <c r="B13" s="2" t="s">
        <v>48</v>
      </c>
      <c r="C13" s="2" t="s">
        <v>49</v>
      </c>
      <c r="D13" s="8"/>
      <c r="E13" s="2"/>
      <c r="F13" s="2">
        <v>1</v>
      </c>
      <c r="G13" s="2" t="s">
        <v>23</v>
      </c>
      <c r="H13" s="3">
        <v>4.21</v>
      </c>
      <c r="I13" s="3"/>
      <c r="J13" s="3">
        <f>Table8[[#This Row],[$/UNIT]]*Table8[[#This Row],['#—TOTAL]]</f>
        <v>4.21</v>
      </c>
      <c r="K13" s="2"/>
      <c r="L13" s="2"/>
      <c r="M13" s="12"/>
      <c r="N13" s="18"/>
      <c r="O13" s="7"/>
    </row>
    <row r="14" spans="1:15">
      <c r="A14" s="1" t="s">
        <v>67</v>
      </c>
      <c r="B14" s="2" t="s">
        <v>19</v>
      </c>
      <c r="C14" s="2" t="s">
        <v>68</v>
      </c>
      <c r="D14" s="8"/>
      <c r="E14" s="2"/>
      <c r="F14" s="2">
        <v>3</v>
      </c>
      <c r="G14" s="2" t="s">
        <v>23</v>
      </c>
      <c r="H14" s="3">
        <v>0.15</v>
      </c>
      <c r="I14" s="3"/>
      <c r="J14" s="3">
        <f>Table8[[#This Row],[$/UNIT]]*Table8[[#This Row],['#—TOTAL]]</f>
        <v>0.44999999999999996</v>
      </c>
      <c r="K14" s="2"/>
      <c r="L14" s="2"/>
      <c r="M14" s="12"/>
      <c r="N14" s="18"/>
      <c r="O14" s="7"/>
    </row>
    <row r="15" spans="1:15">
      <c r="A15" s="1" t="s">
        <v>101</v>
      </c>
      <c r="B15" s="2" t="s">
        <v>102</v>
      </c>
      <c r="C15" s="2" t="s">
        <v>103</v>
      </c>
      <c r="D15" s="8"/>
      <c r="E15" s="2"/>
      <c r="F15" s="2">
        <v>2</v>
      </c>
      <c r="G15" s="2" t="s">
        <v>23</v>
      </c>
      <c r="H15" s="3">
        <v>0.15</v>
      </c>
      <c r="I15" s="3"/>
      <c r="J15" s="3">
        <f>Table8[[#This Row],[$/UNIT]]*Table8[[#This Row],['#—TOTAL]]</f>
        <v>0.3</v>
      </c>
      <c r="K15" s="2"/>
      <c r="L15" s="2"/>
      <c r="M15" s="12"/>
      <c r="N15" s="18"/>
      <c r="O15" s="7"/>
    </row>
    <row r="16" spans="1:15">
      <c r="A16" s="1" t="s">
        <v>104</v>
      </c>
      <c r="B16" s="2" t="s">
        <v>105</v>
      </c>
      <c r="C16" s="2" t="s">
        <v>106</v>
      </c>
      <c r="D16" s="8"/>
      <c r="E16" s="2"/>
      <c r="F16" s="2">
        <v>1</v>
      </c>
      <c r="G16" s="2" t="s">
        <v>23</v>
      </c>
      <c r="H16" s="3">
        <v>0.36</v>
      </c>
      <c r="I16" s="3"/>
      <c r="J16" s="3">
        <f>Table8[[#This Row],[$/UNIT]]*Table8[[#This Row],['#—TOTAL]]</f>
        <v>0.36</v>
      </c>
      <c r="K16" s="2"/>
      <c r="L16" s="2"/>
      <c r="M16" s="12"/>
      <c r="N16" s="18"/>
      <c r="O16" s="7"/>
    </row>
    <row r="17" spans="1:15">
      <c r="A17" s="1" t="s">
        <v>61</v>
      </c>
      <c r="B17" s="2" t="s">
        <v>19</v>
      </c>
      <c r="C17" s="2" t="s">
        <v>62</v>
      </c>
      <c r="D17" s="8"/>
      <c r="E17" s="2"/>
      <c r="F17" s="2">
        <v>2</v>
      </c>
      <c r="G17" s="2" t="s">
        <v>23</v>
      </c>
      <c r="H17" s="3">
        <v>0.15</v>
      </c>
      <c r="I17" s="3"/>
      <c r="J17" s="3">
        <f>Table8[[#This Row],[$/UNIT]]*Table8[[#This Row],['#—TOTAL]]</f>
        <v>0.3</v>
      </c>
      <c r="K17" s="2"/>
      <c r="L17" s="2"/>
      <c r="M17" s="12"/>
      <c r="N17" s="18"/>
      <c r="O17" s="7"/>
    </row>
    <row r="18" spans="1:15">
      <c r="A18" s="1" t="s">
        <v>55</v>
      </c>
      <c r="B18" s="2" t="s">
        <v>19</v>
      </c>
      <c r="C18" s="2" t="s">
        <v>56</v>
      </c>
      <c r="D18" s="8"/>
      <c r="E18" s="2"/>
      <c r="F18" s="2">
        <v>1</v>
      </c>
      <c r="G18" s="2" t="s">
        <v>23</v>
      </c>
      <c r="H18" s="3">
        <v>0.15</v>
      </c>
      <c r="I18" s="3"/>
      <c r="J18" s="3">
        <f>Table8[[#This Row],[$/UNIT]]*Table8[[#This Row],['#—TOTAL]]</f>
        <v>0.15</v>
      </c>
      <c r="K18" s="2"/>
      <c r="L18" s="2"/>
      <c r="M18" s="12"/>
      <c r="N18" s="18"/>
      <c r="O18" s="7"/>
    </row>
    <row r="19" spans="1:15">
      <c r="A19" s="1" t="s">
        <v>107</v>
      </c>
      <c r="B19" s="2" t="s">
        <v>108</v>
      </c>
      <c r="C19" s="2" t="s">
        <v>109</v>
      </c>
      <c r="D19" s="8"/>
      <c r="E19" s="2"/>
      <c r="F19" s="2">
        <v>1</v>
      </c>
      <c r="G19" s="2" t="s">
        <v>23</v>
      </c>
      <c r="H19" s="3">
        <v>0.88</v>
      </c>
      <c r="I19" s="3"/>
      <c r="J19" s="3">
        <f>Table8[[#This Row],[$/UNIT]]*Table8[[#This Row],['#—TOTAL]]</f>
        <v>0.88</v>
      </c>
      <c r="K19" s="2"/>
      <c r="L19" s="2"/>
      <c r="M19" s="12"/>
      <c r="N19" s="18"/>
      <c r="O19" s="7"/>
    </row>
    <row r="20" spans="1:15">
      <c r="A20" s="1" t="s">
        <v>58</v>
      </c>
      <c r="B20" s="2" t="s">
        <v>19</v>
      </c>
      <c r="C20" s="2" t="s">
        <v>59</v>
      </c>
      <c r="D20" s="8"/>
      <c r="E20" s="2"/>
      <c r="F20" s="2">
        <v>2</v>
      </c>
      <c r="G20" s="2" t="s">
        <v>23</v>
      </c>
      <c r="H20" s="3">
        <v>0.24</v>
      </c>
      <c r="I20" s="3"/>
      <c r="J20" s="3">
        <f>Table8[[#This Row],[$/UNIT]]*Table8[[#This Row],['#—TOTAL]]</f>
        <v>0.48</v>
      </c>
      <c r="K20" s="2"/>
      <c r="L20" s="2"/>
      <c r="M20" s="12"/>
      <c r="N20" s="18"/>
      <c r="O20" s="7"/>
    </row>
    <row r="21" spans="1:15">
      <c r="A21" s="1" t="s">
        <v>70</v>
      </c>
      <c r="B21" s="2" t="s">
        <v>71</v>
      </c>
      <c r="C21" s="2" t="s">
        <v>72</v>
      </c>
      <c r="D21" s="8"/>
      <c r="E21" s="2"/>
      <c r="F21" s="2">
        <v>2</v>
      </c>
      <c r="G21" s="2" t="s">
        <v>23</v>
      </c>
      <c r="H21" s="3">
        <v>0.27</v>
      </c>
      <c r="I21" s="3"/>
      <c r="J21" s="3">
        <f>Table8[[#This Row],[$/UNIT]]*Table8[[#This Row],['#—TOTAL]]</f>
        <v>0.54</v>
      </c>
      <c r="K21" s="2"/>
      <c r="L21" s="2"/>
      <c r="M21" s="12"/>
      <c r="N21" s="18"/>
      <c r="O21" s="7"/>
    </row>
    <row r="22" spans="1:15">
      <c r="A22" s="1" t="s">
        <v>74</v>
      </c>
      <c r="B22" s="2" t="s">
        <v>75</v>
      </c>
      <c r="C22" s="2" t="s">
        <v>76</v>
      </c>
      <c r="D22" s="8"/>
      <c r="E22" s="8"/>
      <c r="F22" s="2">
        <v>1</v>
      </c>
      <c r="G22" s="2" t="s">
        <v>23</v>
      </c>
      <c r="H22" s="3">
        <v>4.9800000000000004</v>
      </c>
      <c r="I22" s="3"/>
      <c r="J22" s="3">
        <f>Table8[[#This Row],[$/UNIT]]*Table8[[#This Row],['#—TOTAL]]</f>
        <v>4.9800000000000004</v>
      </c>
      <c r="K22" s="2"/>
      <c r="L22" s="2"/>
      <c r="M22" s="12"/>
      <c r="N22" s="18"/>
      <c r="O22" s="7"/>
    </row>
    <row r="23" spans="1:15">
      <c r="A23" s="1" t="s">
        <v>110</v>
      </c>
      <c r="B23" s="2" t="s">
        <v>40</v>
      </c>
      <c r="C23" s="2" t="s">
        <v>111</v>
      </c>
      <c r="D23" s="8"/>
      <c r="E23" s="8"/>
      <c r="F23" s="2">
        <v>1</v>
      </c>
      <c r="G23" s="2" t="s">
        <v>23</v>
      </c>
      <c r="H23" s="3">
        <v>0.57999999999999996</v>
      </c>
      <c r="I23" s="3"/>
      <c r="J23" s="3">
        <f>Table8[[#This Row],[$/UNIT]]*Table8[[#This Row],['#—TOTAL]]</f>
        <v>0.57999999999999996</v>
      </c>
      <c r="K23" s="2"/>
      <c r="L23" s="2"/>
      <c r="M23" s="12"/>
      <c r="N23" s="18"/>
      <c r="O23" s="7"/>
    </row>
    <row r="24" spans="1:15">
      <c r="A24" s="1" t="s">
        <v>78</v>
      </c>
      <c r="B24" s="2" t="s">
        <v>79</v>
      </c>
      <c r="C24" s="2" t="s">
        <v>80</v>
      </c>
      <c r="D24" s="8"/>
      <c r="E24" s="8"/>
      <c r="F24" s="2">
        <v>1</v>
      </c>
      <c r="G24" s="2" t="s">
        <v>23</v>
      </c>
      <c r="H24" s="3">
        <v>2.06</v>
      </c>
      <c r="I24" s="3"/>
      <c r="J24" s="3">
        <f>Table8[[#This Row],[$/UNIT]]*Table8[[#This Row],['#—TOTAL]]</f>
        <v>2.06</v>
      </c>
      <c r="K24" s="2"/>
      <c r="L24" s="2"/>
      <c r="M24" s="12"/>
      <c r="N24" s="18"/>
      <c r="O24" s="7"/>
    </row>
    <row r="25" spans="1:15">
      <c r="A25" s="1" t="s">
        <v>112</v>
      </c>
      <c r="B25" s="2" t="s">
        <v>113</v>
      </c>
      <c r="C25" s="2" t="s">
        <v>114</v>
      </c>
      <c r="D25" s="8"/>
      <c r="E25" s="8"/>
      <c r="F25" s="2">
        <v>1</v>
      </c>
      <c r="G25" s="2" t="s">
        <v>23</v>
      </c>
      <c r="H25" s="3">
        <v>3.98</v>
      </c>
      <c r="I25" s="3"/>
      <c r="J25" s="3">
        <f>Table8[[#This Row],[$/UNIT]]*Table8[[#This Row],['#—TOTAL]]</f>
        <v>3.98</v>
      </c>
      <c r="K25" s="2"/>
      <c r="L25" s="2"/>
      <c r="M25" s="12"/>
      <c r="N25" s="18"/>
      <c r="O25" s="7"/>
    </row>
    <row r="26" spans="1:15">
      <c r="A26" s="1" t="s">
        <v>115</v>
      </c>
      <c r="B26" s="2" t="s">
        <v>116</v>
      </c>
      <c r="C26" s="2" t="s">
        <v>117</v>
      </c>
      <c r="D26" s="8"/>
      <c r="E26" s="8"/>
      <c r="F26" s="2">
        <v>1</v>
      </c>
      <c r="G26" s="2" t="s">
        <v>23</v>
      </c>
      <c r="H26" s="3">
        <v>2.7</v>
      </c>
      <c r="I26" s="3"/>
      <c r="J26" s="3">
        <f>Table8[[#This Row],[$/UNIT]]*Table8[[#This Row],['#—TOTAL]]</f>
        <v>2.7</v>
      </c>
      <c r="K26" s="2"/>
      <c r="L26" s="2"/>
      <c r="M26" s="12"/>
      <c r="N26" s="18"/>
      <c r="O26" s="7"/>
    </row>
    <row r="27" spans="1:15">
      <c r="A27" s="1" t="s">
        <v>235</v>
      </c>
      <c r="B27" s="8" t="s">
        <v>97</v>
      </c>
      <c r="C27" s="8" t="s">
        <v>118</v>
      </c>
      <c r="D27" s="8" t="s">
        <v>119</v>
      </c>
      <c r="E27" s="8" t="s">
        <v>120</v>
      </c>
      <c r="F27" s="2">
        <v>1</v>
      </c>
      <c r="G27" s="2" t="s">
        <v>23</v>
      </c>
      <c r="H27" s="3">
        <v>3.79</v>
      </c>
      <c r="I27" s="3"/>
      <c r="J27" s="3">
        <f>Table8[[#This Row],[$/UNIT]]*Table8[[#This Row],['#—TOTAL]]</f>
        <v>3.79</v>
      </c>
      <c r="K27" s="2"/>
      <c r="L27" s="2"/>
      <c r="M27" s="12"/>
      <c r="N27" s="19" t="s">
        <v>121</v>
      </c>
      <c r="O27" s="7" t="s">
        <v>234</v>
      </c>
    </row>
    <row r="28" spans="1:15">
      <c r="A28" s="1" t="s">
        <v>122</v>
      </c>
      <c r="B28" s="8" t="s">
        <v>123</v>
      </c>
      <c r="C28" s="8" t="s">
        <v>124</v>
      </c>
      <c r="D28" s="8" t="s">
        <v>119</v>
      </c>
      <c r="E28" s="8" t="s">
        <v>125</v>
      </c>
      <c r="F28" s="2">
        <v>2</v>
      </c>
      <c r="G28" s="2" t="s">
        <v>23</v>
      </c>
      <c r="H28" s="3">
        <v>2.56</v>
      </c>
      <c r="I28" s="3"/>
      <c r="J28" s="3">
        <f>Table8[[#This Row],[$/UNIT]]*Table8[[#This Row],['#—TOTAL]]</f>
        <v>5.12</v>
      </c>
      <c r="K28" s="2"/>
      <c r="L28" s="2"/>
      <c r="M28" s="12"/>
      <c r="N28" s="19" t="s">
        <v>126</v>
      </c>
      <c r="O28" s="7"/>
    </row>
    <row r="29" spans="1:15" ht="38.25" customHeight="1">
      <c r="A29" s="1" t="s">
        <v>233</v>
      </c>
      <c r="B29" s="8"/>
      <c r="C29" s="8"/>
      <c r="D29" s="8" t="s">
        <v>127</v>
      </c>
      <c r="E29" s="8"/>
      <c r="F29" s="2">
        <v>1</v>
      </c>
      <c r="G29" s="2" t="s">
        <v>23</v>
      </c>
      <c r="H29" s="3">
        <v>4.8899999999999997</v>
      </c>
      <c r="I29" s="3"/>
      <c r="J29" s="3">
        <f>Table8[[#This Row],[$/UNIT]]*Table8[[#This Row],['#—TOTAL]]</f>
        <v>4.8899999999999997</v>
      </c>
      <c r="K29" s="2"/>
      <c r="L29" s="2"/>
      <c r="M29" s="12"/>
      <c r="N29" s="20" t="s">
        <v>128</v>
      </c>
      <c r="O29" s="7"/>
    </row>
    <row r="30" spans="1:15">
      <c r="A30" s="1" t="s">
        <v>129</v>
      </c>
      <c r="B30" s="8" t="s">
        <v>130</v>
      </c>
      <c r="C30" s="8" t="s">
        <v>131</v>
      </c>
      <c r="D30" s="8" t="s">
        <v>132</v>
      </c>
      <c r="E30" s="8"/>
      <c r="F30" s="2">
        <v>1</v>
      </c>
      <c r="G30" s="2" t="s">
        <v>23</v>
      </c>
      <c r="H30" s="3">
        <v>11.5</v>
      </c>
      <c r="I30" s="3"/>
      <c r="J30" s="3">
        <f>Table8[[#This Row],[$/UNIT]]*Table8[[#This Row],['#—TOTAL]]</f>
        <v>11.5</v>
      </c>
      <c r="K30" s="2"/>
      <c r="L30" s="2"/>
      <c r="M30" s="12"/>
      <c r="N30" s="19" t="s">
        <v>133</v>
      </c>
      <c r="O30" s="7"/>
    </row>
    <row r="31" spans="1:15">
      <c r="A31" s="1" t="s">
        <v>134</v>
      </c>
      <c r="B31" s="8" t="s">
        <v>135</v>
      </c>
      <c r="C31" s="8"/>
      <c r="D31" s="8"/>
      <c r="E31" s="8"/>
      <c r="F31" s="2">
        <v>10</v>
      </c>
      <c r="G31" s="2" t="s">
        <v>23</v>
      </c>
      <c r="H31" s="3">
        <f>26.87/100</f>
        <v>0.26869999999999999</v>
      </c>
      <c r="I31" s="3"/>
      <c r="J31" s="3">
        <f>Table8[[#This Row],[$/UNIT]]*Table8[[#This Row],['#—TOTAL]]</f>
        <v>2.6869999999999998</v>
      </c>
      <c r="K31" s="2"/>
      <c r="L31" s="2"/>
      <c r="M31" s="12"/>
      <c r="N31" s="18"/>
      <c r="O31" s="7"/>
    </row>
    <row r="32" spans="1:15">
      <c r="A32" s="1" t="s">
        <v>136</v>
      </c>
      <c r="B32" s="8"/>
      <c r="C32" s="8"/>
      <c r="D32" s="8" t="s">
        <v>132</v>
      </c>
      <c r="E32" s="8"/>
      <c r="F32" s="2">
        <v>300</v>
      </c>
      <c r="G32" s="2" t="s">
        <v>137</v>
      </c>
      <c r="H32" s="3">
        <v>0.03</v>
      </c>
      <c r="I32" s="3"/>
      <c r="J32" s="3">
        <f>Table8[[#This Row],[$/UNIT]]*Table8[[#This Row],['#—TOTAL]]</f>
        <v>9</v>
      </c>
      <c r="K32" s="2" t="s">
        <v>2</v>
      </c>
      <c r="L32" s="2" t="s">
        <v>24</v>
      </c>
      <c r="M32" s="12">
        <v>45550</v>
      </c>
      <c r="N32" s="18"/>
      <c r="O32" s="7"/>
    </row>
    <row r="33" spans="2:15">
      <c r="B33" s="13"/>
      <c r="C33" s="13"/>
      <c r="D33" s="13"/>
      <c r="E33" s="13"/>
      <c r="H33" s="14"/>
      <c r="I33" s="14"/>
      <c r="J33" s="14"/>
      <c r="M33" s="15"/>
      <c r="N33" s="13"/>
      <c r="O33" s="13"/>
    </row>
    <row r="34" spans="2:15">
      <c r="H34" s="14"/>
    </row>
    <row r="35" spans="2:15">
      <c r="H35" s="14"/>
    </row>
    <row r="36" spans="2:15">
      <c r="H36" s="14"/>
    </row>
    <row r="37" spans="2:15">
      <c r="H37" s="14"/>
    </row>
  </sheetData>
  <dataValidations count="6">
    <dataValidation type="list" allowBlank="1" showInputMessage="1" showErrorMessage="1" sqref="K33" xr:uid="{676F18B3-746D-4035-B1CC-C44DF47AC5F7}">
      <formula1>"Sebastien, Eric, Kayleb, Braden"</formula1>
    </dataValidation>
    <dataValidation type="list" allowBlank="1" showInputMessage="1" showErrorMessage="1" sqref="L33" xr:uid="{71BE77FF-282F-43D6-9FBC-0685E5E6027F}">
      <formula1>"Yes, No"</formula1>
    </dataValidation>
    <dataValidation type="list" allowBlank="1" showInputMessage="1" showErrorMessage="1" sqref="G33" xr:uid="{B7E7E9AC-A6E4-4E55-8E03-B26D880F1E01}">
      <formula1>"Each, Grams, ft^2"</formula1>
    </dataValidation>
    <dataValidation type="list" allowBlank="1" showInputMessage="1" showErrorMessage="1" sqref="G3:G32" xr:uid="{DA54A3F1-E157-4239-8018-2475FCB0DDE2}">
      <formula1>Unit_Options</formula1>
    </dataValidation>
    <dataValidation type="list" allowBlank="1" showInputMessage="1" showErrorMessage="1" sqref="K3:K32" xr:uid="{819C0E22-EE41-4604-9D8B-0B1847C5873F}">
      <formula1>Payees</formula1>
    </dataValidation>
    <dataValidation type="list" allowBlank="1" showInputMessage="1" showErrorMessage="1" sqref="L3:L32" xr:uid="{7AB88981-1E98-4EE7-A53F-5295BAD69F31}">
      <formula1>Y_N</formula1>
    </dataValidation>
  </dataValidations>
  <hyperlinks>
    <hyperlink ref="N29" r:id="rId1" display="https://www.aliexpress.com/item/1005007119301520.html?spm=a2g0o.productlist.main.27.77dbtPY6tPY61Q&amp;algo_pvid=25dc966e-058f-42b1-9eec-fda56f3feeb8&amp;algo_exp_id=25dc966e-058f-42b1-9eec-fda56f3feeb8-13&amp;pdp_npi=4%40dis%21CAD%214.89%214.89%21%21%2124.80%2124.80%21%402101e62517274636100991041e3fae%2112000039464753243%21sea%21CA%213264091378%21X&amp;curPageLogUid=CLZF6sh729Es&amp;utparam-url=scene%3Asearch%7Cquery_from%3A" xr:uid="{67B3B999-4014-4904-99D1-A786F838C13E}"/>
    <hyperlink ref="N27" r:id="rId2" xr:uid="{9A1549DD-199A-4FC6-8E55-FC8359E728FB}"/>
    <hyperlink ref="N28" r:id="rId3" xr:uid="{39D22216-F473-44AC-8AC4-FDD382EE9D06}"/>
    <hyperlink ref="N30" r:id="rId4" xr:uid="{B978EE27-D467-4DFE-83E0-4904C4D5DB04}"/>
    <hyperlink ref="A1" location="'Table of Contents'!A1" display="Return to Table of Contents" xr:uid="{89E79C13-3324-48ED-949C-E70EF8F0CCCB}"/>
  </hyperlinks>
  <pageMargins left="0.7" right="0.7" top="0.75" bottom="0.75" header="0.3" footer="0.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2A11-84B5-054B-B30D-3998864841B2}">
  <dimension ref="A1:O49"/>
  <sheetViews>
    <sheetView zoomScale="85" zoomScaleNormal="85" workbookViewId="0">
      <selection activeCell="T13" sqref="T13"/>
    </sheetView>
  </sheetViews>
  <sheetFormatPr defaultColWidth="10.69921875" defaultRowHeight="15.6"/>
  <cols>
    <col min="1" max="1" width="50.59765625" style="10" bestFit="1" customWidth="1"/>
    <col min="2" max="2" width="17.09765625" style="10" bestFit="1" customWidth="1"/>
    <col min="3" max="3" width="20.5" style="10" bestFit="1" customWidth="1"/>
    <col min="4" max="4" width="25.19921875" style="10" bestFit="1" customWidth="1"/>
    <col min="5" max="5" width="13.59765625" style="10" bestFit="1" customWidth="1"/>
    <col min="6" max="6" width="10.3984375" style="10" bestFit="1" customWidth="1"/>
    <col min="7" max="7" width="7.8984375" style="10" bestFit="1" customWidth="1"/>
    <col min="8" max="8" width="9.09765625" style="10" bestFit="1" customWidth="1"/>
    <col min="9" max="9" width="13.69921875" style="10" bestFit="1" customWidth="1"/>
    <col min="10" max="10" width="10.19921875" style="10" bestFit="1" customWidth="1"/>
    <col min="11" max="11" width="12.3984375" style="10" bestFit="1" customWidth="1"/>
    <col min="12" max="12" width="26.09765625" style="10" bestFit="1" customWidth="1"/>
    <col min="13" max="13" width="12.69921875" style="10" bestFit="1" customWidth="1"/>
    <col min="14" max="14" width="23.69921875" style="10" bestFit="1" customWidth="1"/>
    <col min="15" max="15" width="21.5" style="10" bestFit="1" customWidth="1"/>
    <col min="16" max="16384" width="10.69921875" style="10"/>
  </cols>
  <sheetData>
    <row r="1" spans="1:15">
      <c r="A1" s="55" t="s">
        <v>309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1" t="s">
        <v>276</v>
      </c>
    </row>
    <row r="3" spans="1:15">
      <c r="A3" s="22" t="s">
        <v>236</v>
      </c>
      <c r="B3" s="8"/>
      <c r="C3" s="8"/>
      <c r="D3" s="8" t="s">
        <v>138</v>
      </c>
      <c r="E3" s="8"/>
      <c r="F3" s="2">
        <v>1</v>
      </c>
      <c r="G3" s="2" t="s">
        <v>23</v>
      </c>
      <c r="H3" s="3">
        <v>67.180000000000007</v>
      </c>
      <c r="I3" s="3"/>
      <c r="J3" s="3">
        <f>Table14[[#This Row],['#—TOTAL]]*Table14[[#This Row],[$/UNIT]]+Table14[[#This Row],[$—SHIPPING]]</f>
        <v>67.180000000000007</v>
      </c>
      <c r="K3" s="2" t="s">
        <v>6</v>
      </c>
      <c r="L3" s="2" t="s">
        <v>24</v>
      </c>
      <c r="M3" s="12">
        <v>45550</v>
      </c>
      <c r="N3" s="25"/>
      <c r="O3" s="7"/>
    </row>
    <row r="4" spans="1:15">
      <c r="A4" s="22" t="s">
        <v>237</v>
      </c>
      <c r="B4" s="8"/>
      <c r="C4" s="8"/>
      <c r="D4" s="8" t="s">
        <v>138</v>
      </c>
      <c r="E4" s="8"/>
      <c r="F4" s="2">
        <v>1</v>
      </c>
      <c r="G4" s="2" t="s">
        <v>23</v>
      </c>
      <c r="H4" s="3">
        <v>13.1</v>
      </c>
      <c r="I4" s="3"/>
      <c r="J4" s="3">
        <f>Table14[[#This Row],['#—TOTAL]]*Table14[[#This Row],[$/UNIT]]+Table14[[#This Row],[$—SHIPPING]]</f>
        <v>13.1</v>
      </c>
      <c r="K4" s="2" t="s">
        <v>6</v>
      </c>
      <c r="L4" s="2" t="s">
        <v>24</v>
      </c>
      <c r="M4" s="12">
        <v>45550</v>
      </c>
      <c r="N4" s="25"/>
      <c r="O4" s="7"/>
    </row>
    <row r="5" spans="1:15">
      <c r="A5" s="22" t="s">
        <v>238</v>
      </c>
      <c r="B5" s="8"/>
      <c r="C5" s="8"/>
      <c r="D5" s="8" t="s">
        <v>138</v>
      </c>
      <c r="E5" s="8"/>
      <c r="F5" s="2">
        <v>2</v>
      </c>
      <c r="G5" s="2" t="s">
        <v>23</v>
      </c>
      <c r="H5" s="3">
        <v>14.98</v>
      </c>
      <c r="I5" s="3"/>
      <c r="J5" s="3">
        <f>Table14[[#This Row],['#—TOTAL]]*Table14[[#This Row],[$/UNIT]]+Table14[[#This Row],[$—SHIPPING]]</f>
        <v>29.96</v>
      </c>
      <c r="K5" s="2" t="s">
        <v>5</v>
      </c>
      <c r="L5" s="2" t="s">
        <v>24</v>
      </c>
      <c r="M5" s="12">
        <v>45550</v>
      </c>
      <c r="N5" s="25"/>
      <c r="O5" s="7"/>
    </row>
    <row r="6" spans="1:15">
      <c r="A6" s="22" t="s">
        <v>239</v>
      </c>
      <c r="B6" s="8"/>
      <c r="C6" s="8"/>
      <c r="D6" s="8" t="s">
        <v>138</v>
      </c>
      <c r="E6" s="8"/>
      <c r="F6" s="2">
        <v>1</v>
      </c>
      <c r="G6" s="2" t="s">
        <v>23</v>
      </c>
      <c r="H6" s="3">
        <v>11.47</v>
      </c>
      <c r="I6" s="3"/>
      <c r="J6" s="3">
        <f>Table14[[#This Row],['#—TOTAL]]*Table14[[#This Row],[$/UNIT]]+Table14[[#This Row],[$—SHIPPING]]</f>
        <v>11.47</v>
      </c>
      <c r="K6" s="2" t="s">
        <v>5</v>
      </c>
      <c r="L6" s="2" t="s">
        <v>24</v>
      </c>
      <c r="M6" s="12">
        <v>45550</v>
      </c>
      <c r="N6" s="25"/>
      <c r="O6" s="7"/>
    </row>
    <row r="7" spans="1:15">
      <c r="A7" s="22" t="s">
        <v>240</v>
      </c>
      <c r="B7" s="8"/>
      <c r="C7" s="8"/>
      <c r="D7" s="8" t="s">
        <v>132</v>
      </c>
      <c r="E7" s="8"/>
      <c r="F7" s="2">
        <v>1</v>
      </c>
      <c r="G7" s="2" t="s">
        <v>23</v>
      </c>
      <c r="H7" s="3">
        <v>24.62</v>
      </c>
      <c r="I7" s="3"/>
      <c r="J7" s="3">
        <f>Table14[[#This Row],['#—TOTAL]]*Table14[[#This Row],[$/UNIT]]+Table14[[#This Row],[$—SHIPPING]]</f>
        <v>24.62</v>
      </c>
      <c r="K7" s="2" t="s">
        <v>2</v>
      </c>
      <c r="L7" s="2" t="s">
        <v>24</v>
      </c>
      <c r="M7" s="12">
        <v>45550</v>
      </c>
      <c r="N7" s="26" t="s">
        <v>139</v>
      </c>
      <c r="O7" s="7"/>
    </row>
    <row r="8" spans="1:15">
      <c r="A8" s="22" t="s">
        <v>241</v>
      </c>
      <c r="B8" s="8"/>
      <c r="C8" s="8"/>
      <c r="D8" s="8" t="s">
        <v>127</v>
      </c>
      <c r="E8" s="8"/>
      <c r="F8" s="2">
        <v>1</v>
      </c>
      <c r="G8" s="2" t="s">
        <v>23</v>
      </c>
      <c r="H8" s="3">
        <v>54.92</v>
      </c>
      <c r="I8" s="3"/>
      <c r="J8" s="3">
        <f>Table14[[#This Row],['#—TOTAL]]*Table14[[#This Row],[$/UNIT]]+Table14[[#This Row],[$—SHIPPING]]</f>
        <v>54.92</v>
      </c>
      <c r="K8" s="2" t="s">
        <v>2</v>
      </c>
      <c r="L8" s="2" t="s">
        <v>24</v>
      </c>
      <c r="M8" s="12">
        <v>45550</v>
      </c>
      <c r="N8" s="27"/>
      <c r="O8" s="7"/>
    </row>
    <row r="9" spans="1:15">
      <c r="A9" s="22" t="s">
        <v>242</v>
      </c>
      <c r="B9" s="8"/>
      <c r="C9" s="8"/>
      <c r="D9" s="8" t="s">
        <v>132</v>
      </c>
      <c r="E9" s="8"/>
      <c r="F9" s="2">
        <v>300</v>
      </c>
      <c r="G9" s="2" t="s">
        <v>137</v>
      </c>
      <c r="H9" s="3">
        <v>0.03</v>
      </c>
      <c r="I9" s="3"/>
      <c r="J9" s="3">
        <f>Table14[[#This Row],['#—TOTAL]]*Table14[[#This Row],[$/UNIT]]+Table14[[#This Row],[$—SHIPPING]]</f>
        <v>9</v>
      </c>
      <c r="K9" s="2" t="s">
        <v>2</v>
      </c>
      <c r="L9" s="2" t="s">
        <v>24</v>
      </c>
      <c r="M9" s="12">
        <v>45550</v>
      </c>
      <c r="N9" s="25"/>
      <c r="O9" s="7"/>
    </row>
    <row r="10" spans="1:15">
      <c r="A10" s="22" t="s">
        <v>243</v>
      </c>
      <c r="B10" s="8"/>
      <c r="C10" s="8"/>
      <c r="D10" s="8" t="s">
        <v>140</v>
      </c>
      <c r="E10" s="8"/>
      <c r="F10" s="2">
        <v>2</v>
      </c>
      <c r="G10" s="2" t="s">
        <v>23</v>
      </c>
      <c r="H10" s="3">
        <v>2.39</v>
      </c>
      <c r="I10" s="3"/>
      <c r="J10" s="3">
        <f>Table14[[#This Row],['#—TOTAL]]*Table14[[#This Row],[$/UNIT]]+Table14[[#This Row],[$—SHIPPING]]</f>
        <v>4.78</v>
      </c>
      <c r="K10" s="2" t="s">
        <v>2</v>
      </c>
      <c r="L10" s="2" t="s">
        <v>24</v>
      </c>
      <c r="M10" s="12">
        <v>45550</v>
      </c>
      <c r="N10" s="25"/>
      <c r="O10" s="7"/>
    </row>
    <row r="11" spans="1:15">
      <c r="A11" s="22" t="s">
        <v>244</v>
      </c>
      <c r="B11" s="8"/>
      <c r="C11" s="8"/>
      <c r="D11" s="8" t="s">
        <v>140</v>
      </c>
      <c r="E11" s="8"/>
      <c r="F11" s="2">
        <v>2</v>
      </c>
      <c r="G11" s="2" t="s">
        <v>23</v>
      </c>
      <c r="H11" s="3">
        <v>2.9</v>
      </c>
      <c r="I11" s="3"/>
      <c r="J11" s="3">
        <f>Table14[[#This Row],['#—TOTAL]]*Table14[[#This Row],[$/UNIT]]+Table14[[#This Row],[$—SHIPPING]]</f>
        <v>5.8</v>
      </c>
      <c r="K11" s="2" t="s">
        <v>2</v>
      </c>
      <c r="L11" s="2" t="s">
        <v>24</v>
      </c>
      <c r="M11" s="12">
        <v>45550</v>
      </c>
      <c r="N11" s="25"/>
      <c r="O11" s="7"/>
    </row>
    <row r="12" spans="1:15">
      <c r="A12" s="22" t="s">
        <v>245</v>
      </c>
      <c r="B12" s="8"/>
      <c r="C12" s="8"/>
      <c r="D12" s="8" t="s">
        <v>140</v>
      </c>
      <c r="E12" s="8"/>
      <c r="F12" s="2">
        <v>6</v>
      </c>
      <c r="G12" s="2" t="s">
        <v>23</v>
      </c>
      <c r="H12" s="3">
        <v>2.19</v>
      </c>
      <c r="I12" s="3"/>
      <c r="J12" s="3">
        <f>Table14[[#This Row],['#—TOTAL]]*Table14[[#This Row],[$/UNIT]]+Table14[[#This Row],[$—SHIPPING]]</f>
        <v>13.14</v>
      </c>
      <c r="K12" s="2" t="s">
        <v>2</v>
      </c>
      <c r="L12" s="2" t="s">
        <v>24</v>
      </c>
      <c r="M12" s="12">
        <v>45550</v>
      </c>
      <c r="N12" s="25"/>
      <c r="O12" s="7"/>
    </row>
    <row r="13" spans="1:15">
      <c r="A13" s="22" t="s">
        <v>246</v>
      </c>
      <c r="B13" s="8"/>
      <c r="C13" s="8"/>
      <c r="D13" s="8" t="s">
        <v>140</v>
      </c>
      <c r="E13" s="8"/>
      <c r="F13" s="2">
        <v>1</v>
      </c>
      <c r="G13" s="2" t="s">
        <v>23</v>
      </c>
      <c r="H13" s="3">
        <v>0.91</v>
      </c>
      <c r="I13" s="3"/>
      <c r="J13" s="3">
        <f>Table14[[#This Row],['#—TOTAL]]*Table14[[#This Row],[$/UNIT]]+Table14[[#This Row],[$—SHIPPING]]</f>
        <v>0.91</v>
      </c>
      <c r="K13" s="2" t="s">
        <v>2</v>
      </c>
      <c r="L13" s="2" t="s">
        <v>24</v>
      </c>
      <c r="M13" s="12">
        <v>45550</v>
      </c>
      <c r="N13" s="25"/>
      <c r="O13" s="7"/>
    </row>
    <row r="14" spans="1:15">
      <c r="A14" s="22" t="s">
        <v>247</v>
      </c>
      <c r="B14" s="8"/>
      <c r="C14" s="8"/>
      <c r="D14" s="8" t="s">
        <v>140</v>
      </c>
      <c r="E14" s="8"/>
      <c r="F14" s="2">
        <v>1</v>
      </c>
      <c r="G14" s="2" t="s">
        <v>23</v>
      </c>
      <c r="H14" s="3">
        <v>1.42</v>
      </c>
      <c r="I14" s="3"/>
      <c r="J14" s="3">
        <f>Table14[[#This Row],['#—TOTAL]]*Table14[[#This Row],[$/UNIT]]+Table14[[#This Row],[$—SHIPPING]]</f>
        <v>1.42</v>
      </c>
      <c r="K14" s="2" t="s">
        <v>2</v>
      </c>
      <c r="L14" s="2" t="s">
        <v>24</v>
      </c>
      <c r="M14" s="12">
        <v>45550</v>
      </c>
      <c r="N14" s="25"/>
      <c r="O14" s="7"/>
    </row>
    <row r="15" spans="1:15">
      <c r="A15" s="22" t="s">
        <v>248</v>
      </c>
      <c r="B15" s="8"/>
      <c r="C15" s="8"/>
      <c r="D15" s="8" t="s">
        <v>140</v>
      </c>
      <c r="E15" s="8"/>
      <c r="F15" s="2">
        <v>1</v>
      </c>
      <c r="G15" s="2" t="s">
        <v>23</v>
      </c>
      <c r="H15" s="3">
        <v>2.3199999999999998</v>
      </c>
      <c r="I15" s="3"/>
      <c r="J15" s="3">
        <f>Table14[[#This Row],['#—TOTAL]]*Table14[[#This Row],[$/UNIT]]+Table14[[#This Row],[$—SHIPPING]]</f>
        <v>2.3199999999999998</v>
      </c>
      <c r="K15" s="2" t="s">
        <v>2</v>
      </c>
      <c r="L15" s="2" t="s">
        <v>24</v>
      </c>
      <c r="M15" s="12">
        <v>45550</v>
      </c>
      <c r="N15" s="25"/>
      <c r="O15" s="7"/>
    </row>
    <row r="16" spans="1:15">
      <c r="A16" s="22" t="s">
        <v>249</v>
      </c>
      <c r="B16" s="8"/>
      <c r="C16" s="8"/>
      <c r="D16" s="8" t="s">
        <v>140</v>
      </c>
      <c r="E16" s="8"/>
      <c r="F16" s="2">
        <v>1</v>
      </c>
      <c r="G16" s="2" t="s">
        <v>23</v>
      </c>
      <c r="H16" s="3">
        <v>0.68</v>
      </c>
      <c r="I16" s="3"/>
      <c r="J16" s="3">
        <f>Table14[[#This Row],['#—TOTAL]]*Table14[[#This Row],[$/UNIT]]+Table14[[#This Row],[$—SHIPPING]]</f>
        <v>0.68</v>
      </c>
      <c r="K16" s="2" t="s">
        <v>2</v>
      </c>
      <c r="L16" s="2" t="s">
        <v>24</v>
      </c>
      <c r="M16" s="12">
        <v>45550</v>
      </c>
      <c r="N16" s="25"/>
      <c r="O16" s="7"/>
    </row>
    <row r="17" spans="1:15">
      <c r="A17" s="22" t="s">
        <v>250</v>
      </c>
      <c r="B17" s="8"/>
      <c r="C17" s="8"/>
      <c r="D17" s="8" t="s">
        <v>140</v>
      </c>
      <c r="E17" s="8"/>
      <c r="F17" s="2">
        <v>1</v>
      </c>
      <c r="G17" s="2" t="s">
        <v>23</v>
      </c>
      <c r="H17" s="3">
        <v>1.3</v>
      </c>
      <c r="I17" s="3"/>
      <c r="J17" s="3">
        <f>Table14[[#This Row],['#—TOTAL]]*Table14[[#This Row],[$/UNIT]]+Table14[[#This Row],[$—SHIPPING]]</f>
        <v>1.3</v>
      </c>
      <c r="K17" s="2" t="s">
        <v>2</v>
      </c>
      <c r="L17" s="2" t="s">
        <v>24</v>
      </c>
      <c r="M17" s="12">
        <v>45550</v>
      </c>
      <c r="N17" s="25"/>
      <c r="O17" s="7"/>
    </row>
    <row r="18" spans="1:15">
      <c r="A18" s="22" t="s">
        <v>251</v>
      </c>
      <c r="B18" s="8"/>
      <c r="C18" s="8"/>
      <c r="D18" s="8" t="s">
        <v>140</v>
      </c>
      <c r="E18" s="8"/>
      <c r="F18" s="2">
        <v>3</v>
      </c>
      <c r="G18" s="2" t="s">
        <v>23</v>
      </c>
      <c r="H18" s="3">
        <v>2.54</v>
      </c>
      <c r="I18" s="3"/>
      <c r="J18" s="3">
        <f>Table14[[#This Row],['#—TOTAL]]*Table14[[#This Row],[$/UNIT]]+Table14[[#This Row],[$—SHIPPING]]</f>
        <v>7.62</v>
      </c>
      <c r="K18" s="2" t="s">
        <v>2</v>
      </c>
      <c r="L18" s="2" t="s">
        <v>24</v>
      </c>
      <c r="M18" s="12">
        <v>45550</v>
      </c>
      <c r="N18" s="25"/>
      <c r="O18" s="7"/>
    </row>
    <row r="19" spans="1:15">
      <c r="A19" s="22" t="s">
        <v>252</v>
      </c>
      <c r="B19" s="8"/>
      <c r="C19" s="8"/>
      <c r="D19" s="8" t="s">
        <v>127</v>
      </c>
      <c r="E19" s="8"/>
      <c r="F19" s="2">
        <v>1</v>
      </c>
      <c r="G19" s="2" t="s">
        <v>23</v>
      </c>
      <c r="H19" s="3">
        <v>26.99</v>
      </c>
      <c r="I19" s="3"/>
      <c r="J19" s="3">
        <f>Table14[[#This Row],['#—TOTAL]]*Table14[[#This Row],[$/UNIT]]+Table14[[#This Row],[$—SHIPPING]]</f>
        <v>26.99</v>
      </c>
      <c r="K19" s="2" t="s">
        <v>2</v>
      </c>
      <c r="L19" s="2" t="s">
        <v>24</v>
      </c>
      <c r="M19" s="12">
        <v>45550</v>
      </c>
      <c r="N19" s="25"/>
      <c r="O19" s="7"/>
    </row>
    <row r="20" spans="1:15">
      <c r="A20" s="22" t="s">
        <v>253</v>
      </c>
      <c r="B20" s="8"/>
      <c r="C20" s="8"/>
      <c r="D20" s="8" t="s">
        <v>127</v>
      </c>
      <c r="E20" s="8"/>
      <c r="F20" s="2">
        <v>1</v>
      </c>
      <c r="G20" s="2" t="s">
        <v>23</v>
      </c>
      <c r="H20" s="3">
        <v>6.48</v>
      </c>
      <c r="I20" s="3">
        <v>2.91</v>
      </c>
      <c r="J20" s="3">
        <f>Table14[[#This Row],['#—TOTAL]]*Table14[[#This Row],[$/UNIT]]+Table14[[#This Row],[$—SHIPPING]]</f>
        <v>9.39</v>
      </c>
      <c r="K20" s="2" t="s">
        <v>2</v>
      </c>
      <c r="L20" s="2" t="s">
        <v>24</v>
      </c>
      <c r="M20" s="12">
        <v>45550</v>
      </c>
      <c r="N20" s="25"/>
      <c r="O20" s="7"/>
    </row>
    <row r="21" spans="1:15">
      <c r="A21" s="22" t="s">
        <v>254</v>
      </c>
      <c r="B21" s="8"/>
      <c r="C21" s="8"/>
      <c r="D21" s="8" t="s">
        <v>132</v>
      </c>
      <c r="E21" s="8"/>
      <c r="F21" s="2">
        <v>3</v>
      </c>
      <c r="G21" s="2" t="s">
        <v>23</v>
      </c>
      <c r="H21" s="3">
        <v>1.61</v>
      </c>
      <c r="I21" s="3"/>
      <c r="J21" s="3">
        <f>Table14[[#This Row],['#—TOTAL]]*Table14[[#This Row],[$/UNIT]]+Table14[[#This Row],[$—SHIPPING]]</f>
        <v>4.83</v>
      </c>
      <c r="K21" s="2" t="s">
        <v>2</v>
      </c>
      <c r="L21" s="2" t="s">
        <v>24</v>
      </c>
      <c r="M21" s="12">
        <v>45550</v>
      </c>
      <c r="N21" s="25"/>
      <c r="O21" s="7"/>
    </row>
    <row r="22" spans="1:15">
      <c r="A22" s="22" t="s">
        <v>255</v>
      </c>
      <c r="B22" s="8"/>
      <c r="C22" s="8"/>
      <c r="D22" s="8" t="s">
        <v>132</v>
      </c>
      <c r="E22" s="8"/>
      <c r="F22" s="2">
        <v>2</v>
      </c>
      <c r="G22" s="2" t="s">
        <v>23</v>
      </c>
      <c r="H22" s="3">
        <f>25.74/4</f>
        <v>6.4349999999999996</v>
      </c>
      <c r="I22" s="3"/>
      <c r="J22" s="3">
        <f>Table14[[#This Row],['#—TOTAL]]*Table14[[#This Row],[$/UNIT]]+Table14[[#This Row],[$—SHIPPING]]</f>
        <v>12.87</v>
      </c>
      <c r="K22" s="2" t="s">
        <v>2</v>
      </c>
      <c r="L22" s="2" t="s">
        <v>24</v>
      </c>
      <c r="M22" s="12">
        <v>45550</v>
      </c>
      <c r="N22" s="25"/>
      <c r="O22" s="7"/>
    </row>
    <row r="23" spans="1:15">
      <c r="A23" s="22" t="s">
        <v>256</v>
      </c>
      <c r="B23" s="8"/>
      <c r="C23" s="8"/>
      <c r="D23" s="8" t="s">
        <v>141</v>
      </c>
      <c r="E23" s="8"/>
      <c r="F23" s="2">
        <v>1</v>
      </c>
      <c r="G23" s="2" t="s">
        <v>23</v>
      </c>
      <c r="H23" s="3">
        <v>13.43</v>
      </c>
      <c r="I23" s="3"/>
      <c r="J23" s="3">
        <f>Table14[[#This Row],['#—TOTAL]]*Table14[[#This Row],[$/UNIT]]+Table14[[#This Row],[$—SHIPPING]]</f>
        <v>13.43</v>
      </c>
      <c r="K23" s="2" t="s">
        <v>5</v>
      </c>
      <c r="L23" s="2" t="s">
        <v>24</v>
      </c>
      <c r="M23" s="12">
        <v>45550</v>
      </c>
      <c r="N23" s="25"/>
      <c r="O23" s="7"/>
    </row>
    <row r="24" spans="1:15">
      <c r="A24" s="22" t="s">
        <v>257</v>
      </c>
      <c r="B24" s="8"/>
      <c r="C24" s="8"/>
      <c r="D24" s="8" t="s">
        <v>89</v>
      </c>
      <c r="E24" s="8"/>
      <c r="F24" s="2">
        <v>1</v>
      </c>
      <c r="G24" s="2" t="s">
        <v>23</v>
      </c>
      <c r="H24" s="3">
        <v>150</v>
      </c>
      <c r="I24" s="3"/>
      <c r="J24" s="3">
        <f>Table14[[#This Row],['#—TOTAL]]*Table14[[#This Row],[$/UNIT]]+Table14[[#This Row],[$—SHIPPING]]</f>
        <v>150</v>
      </c>
      <c r="K24" s="2" t="s">
        <v>2</v>
      </c>
      <c r="L24" s="2" t="s">
        <v>142</v>
      </c>
      <c r="M24" s="12">
        <v>45550</v>
      </c>
      <c r="N24" s="27"/>
      <c r="O24" s="7"/>
    </row>
    <row r="25" spans="1:15">
      <c r="A25" s="22" t="s">
        <v>258</v>
      </c>
      <c r="B25" s="8"/>
      <c r="C25" s="8"/>
      <c r="D25" s="8" t="s">
        <v>89</v>
      </c>
      <c r="E25" s="8"/>
      <c r="F25" s="2">
        <v>1</v>
      </c>
      <c r="G25" s="2" t="s">
        <v>23</v>
      </c>
      <c r="H25" s="3">
        <v>150</v>
      </c>
      <c r="I25" s="3"/>
      <c r="J25" s="3">
        <f>Table14[[#This Row],['#—TOTAL]]*Table14[[#This Row],[$/UNIT]]+Table14[[#This Row],[$—SHIPPING]]</f>
        <v>150</v>
      </c>
      <c r="K25" s="2" t="s">
        <v>2</v>
      </c>
      <c r="L25" s="2" t="s">
        <v>142</v>
      </c>
      <c r="M25" s="12">
        <v>45550</v>
      </c>
      <c r="N25" s="27"/>
      <c r="O25" s="7"/>
    </row>
    <row r="26" spans="1:15">
      <c r="A26" s="22" t="s">
        <v>259</v>
      </c>
      <c r="B26" s="8"/>
      <c r="C26" s="8"/>
      <c r="D26" s="8" t="s">
        <v>143</v>
      </c>
      <c r="E26" s="8"/>
      <c r="F26" s="2">
        <v>1</v>
      </c>
      <c r="G26" s="2" t="s">
        <v>23</v>
      </c>
      <c r="H26" s="3">
        <v>56.99</v>
      </c>
      <c r="I26" s="3"/>
      <c r="J26" s="3">
        <f>Table14[[#This Row],['#—TOTAL]]*Table14[[#This Row],[$/UNIT]]+Table14[[#This Row],[$—SHIPPING]]</f>
        <v>56.99</v>
      </c>
      <c r="K26" s="2" t="s">
        <v>2</v>
      </c>
      <c r="L26" s="2" t="s">
        <v>142</v>
      </c>
      <c r="M26" s="12">
        <v>45550</v>
      </c>
      <c r="N26" s="25"/>
      <c r="O26" s="7"/>
    </row>
    <row r="27" spans="1:15">
      <c r="A27" s="22" t="s">
        <v>260</v>
      </c>
      <c r="B27" s="8"/>
      <c r="C27" s="8"/>
      <c r="D27" s="8" t="s">
        <v>144</v>
      </c>
      <c r="E27" s="8"/>
      <c r="F27" s="2">
        <f>2*1</f>
        <v>2</v>
      </c>
      <c r="G27" s="8" t="s">
        <v>145</v>
      </c>
      <c r="H27" s="3">
        <v>19.29</v>
      </c>
      <c r="I27" s="3"/>
      <c r="J27" s="3">
        <f>Table14[[#This Row],['#—TOTAL]]*Table14[[#This Row],[$/UNIT]]+Table14[[#This Row],[$—SHIPPING]]</f>
        <v>38.58</v>
      </c>
      <c r="K27" s="2" t="s">
        <v>2</v>
      </c>
      <c r="L27" s="2" t="s">
        <v>142</v>
      </c>
      <c r="M27" s="12">
        <v>45550</v>
      </c>
      <c r="N27" s="25"/>
      <c r="O27" s="7"/>
    </row>
    <row r="28" spans="1:15">
      <c r="A28" s="22" t="s">
        <v>261</v>
      </c>
      <c r="B28" s="8"/>
      <c r="C28" s="8"/>
      <c r="D28" s="8" t="s">
        <v>144</v>
      </c>
      <c r="E28" s="8"/>
      <c r="F28" s="2">
        <f>((2*0.33)*2)</f>
        <v>1.32</v>
      </c>
      <c r="G28" s="2" t="s">
        <v>145</v>
      </c>
      <c r="H28" s="3">
        <v>13.49</v>
      </c>
      <c r="I28" s="3"/>
      <c r="J28" s="3">
        <f>Table14[[#This Row],['#—TOTAL]]*Table14[[#This Row],[$/UNIT]]+Table14[[#This Row],[$—SHIPPING]]</f>
        <v>17.806800000000003</v>
      </c>
      <c r="K28" s="2" t="s">
        <v>2</v>
      </c>
      <c r="L28" s="2" t="s">
        <v>142</v>
      </c>
      <c r="M28" s="12">
        <v>45550</v>
      </c>
      <c r="N28" s="25"/>
      <c r="O28" s="7"/>
    </row>
    <row r="29" spans="1:15">
      <c r="H29" s="14"/>
      <c r="I29" s="14"/>
      <c r="J29" s="14"/>
    </row>
    <row r="30" spans="1:15">
      <c r="H30" s="14"/>
      <c r="I30" s="14"/>
      <c r="J30" s="14"/>
    </row>
    <row r="31" spans="1:15">
      <c r="H31" s="14"/>
      <c r="I31" s="14"/>
      <c r="J31" s="14"/>
    </row>
    <row r="32" spans="1:15">
      <c r="H32" s="14"/>
      <c r="I32" s="14"/>
      <c r="J32" s="14"/>
    </row>
    <row r="33" spans="8:10">
      <c r="H33" s="14"/>
      <c r="I33" s="14"/>
      <c r="J33" s="14"/>
    </row>
    <row r="34" spans="8:10">
      <c r="H34" s="14"/>
      <c r="I34" s="14"/>
      <c r="J34" s="14"/>
    </row>
    <row r="35" spans="8:10">
      <c r="H35" s="14"/>
      <c r="I35" s="14"/>
      <c r="J35" s="14"/>
    </row>
    <row r="36" spans="8:10">
      <c r="H36" s="14"/>
      <c r="I36" s="14"/>
      <c r="J36" s="14"/>
    </row>
    <row r="37" spans="8:10">
      <c r="H37" s="14"/>
      <c r="I37" s="14"/>
      <c r="J37" s="14"/>
    </row>
    <row r="38" spans="8:10">
      <c r="H38" s="14"/>
      <c r="I38" s="14"/>
      <c r="J38" s="14"/>
    </row>
    <row r="39" spans="8:10">
      <c r="H39" s="14"/>
      <c r="I39" s="14"/>
      <c r="J39" s="14"/>
    </row>
    <row r="40" spans="8:10">
      <c r="H40" s="14"/>
      <c r="I40" s="14"/>
      <c r="J40" s="14"/>
    </row>
    <row r="41" spans="8:10">
      <c r="H41" s="14"/>
      <c r="I41" s="14"/>
      <c r="J41" s="14"/>
    </row>
    <row r="42" spans="8:10">
      <c r="H42" s="14"/>
      <c r="I42" s="14"/>
      <c r="J42" s="14"/>
    </row>
    <row r="43" spans="8:10">
      <c r="H43" s="14"/>
      <c r="I43" s="14"/>
      <c r="J43" s="14"/>
    </row>
    <row r="44" spans="8:10">
      <c r="H44" s="14"/>
      <c r="I44" s="14"/>
      <c r="J44" s="14"/>
    </row>
    <row r="45" spans="8:10">
      <c r="H45" s="14"/>
      <c r="I45" s="14"/>
      <c r="J45" s="14"/>
    </row>
    <row r="46" spans="8:10">
      <c r="H46" s="14"/>
      <c r="I46" s="14"/>
      <c r="J46" s="14"/>
    </row>
    <row r="47" spans="8:10">
      <c r="H47" s="14"/>
      <c r="I47" s="14"/>
      <c r="J47" s="14"/>
    </row>
    <row r="48" spans="8:10">
      <c r="H48" s="14"/>
      <c r="I48" s="14"/>
      <c r="J48" s="14"/>
    </row>
    <row r="49" spans="8:10">
      <c r="H49" s="14"/>
      <c r="I49" s="14"/>
      <c r="J49" s="14"/>
    </row>
  </sheetData>
  <dataValidations count="4">
    <dataValidation type="list" allowBlank="1" showInputMessage="1" showErrorMessage="1" sqref="N3:N6" xr:uid="{42B036CF-B0FF-2D45-AF52-BEC0471ACB3C}">
      <formula1>"Yes, No"</formula1>
    </dataValidation>
    <dataValidation type="list" allowBlank="1" showInputMessage="1" showErrorMessage="1" sqref="K3:K28" xr:uid="{6D6EB600-5118-4B59-AC54-0DAB7660576B}">
      <formula1>Payees</formula1>
    </dataValidation>
    <dataValidation type="list" allowBlank="1" showInputMessage="1" showErrorMessage="1" sqref="G3:G28" xr:uid="{B86C9359-0F02-4206-80DC-DCA9E4567384}">
      <formula1>Unit_Options</formula1>
    </dataValidation>
    <dataValidation type="list" allowBlank="1" showInputMessage="1" showErrorMessage="1" sqref="L3:L28" xr:uid="{3C708BA0-CD0C-4B00-933F-299A3BF5AD6C}">
      <formula1>Y_N</formula1>
    </dataValidation>
  </dataValidations>
  <hyperlinks>
    <hyperlink ref="N7" r:id="rId1" xr:uid="{7902512A-3CAA-D649-BF49-DAFDEE679A20}"/>
    <hyperlink ref="A1" location="'Table of Contents'!A1" display="Return to Table of Contents" xr:uid="{3DB8C436-029D-4559-808C-A0D6640E906E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CEF6-750B-7E4F-8DCE-A41B35F8805F}">
  <dimension ref="A1:O15"/>
  <sheetViews>
    <sheetView zoomScale="85" zoomScaleNormal="85" workbookViewId="0">
      <selection activeCell="L27" sqref="L27"/>
    </sheetView>
  </sheetViews>
  <sheetFormatPr defaultColWidth="10.69921875" defaultRowHeight="15.6"/>
  <cols>
    <col min="1" max="1" width="66.5" style="10" bestFit="1" customWidth="1"/>
    <col min="2" max="2" width="26.5" style="10" bestFit="1" customWidth="1"/>
    <col min="3" max="3" width="24.5" style="10" bestFit="1" customWidth="1"/>
    <col min="4" max="4" width="14.19921875" style="10" bestFit="1" customWidth="1"/>
    <col min="5" max="5" width="17.59765625" style="10" bestFit="1" customWidth="1"/>
    <col min="6" max="6" width="14.3984375" style="10" bestFit="1" customWidth="1"/>
    <col min="7" max="7" width="11.8984375" style="10" bestFit="1" customWidth="1"/>
    <col min="8" max="8" width="11.69921875" style="10" bestFit="1" customWidth="1"/>
    <col min="9" max="9" width="17.69921875" style="10" bestFit="1" customWidth="1"/>
    <col min="10" max="10" width="14.19921875" style="10" bestFit="1" customWidth="1"/>
    <col min="11" max="11" width="11" style="10" bestFit="1" customWidth="1"/>
    <col min="12" max="12" width="30.09765625" style="10" bestFit="1" customWidth="1"/>
    <col min="13" max="13" width="16.19921875" style="10" bestFit="1" customWidth="1"/>
    <col min="14" max="14" width="143.09765625" style="10" bestFit="1" customWidth="1"/>
    <col min="15" max="15" width="22.5" style="10" bestFit="1" customWidth="1"/>
    <col min="16" max="16384" width="10.69921875" style="10"/>
  </cols>
  <sheetData>
    <row r="1" spans="1:15">
      <c r="A1" s="55" t="s">
        <v>309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1" t="s">
        <v>276</v>
      </c>
    </row>
    <row r="3" spans="1:15" ht="31.2">
      <c r="A3" s="28" t="s">
        <v>263</v>
      </c>
      <c r="B3" s="8" t="s">
        <v>146</v>
      </c>
      <c r="C3" s="2" t="s">
        <v>147</v>
      </c>
      <c r="D3" s="8" t="s">
        <v>148</v>
      </c>
      <c r="E3" s="2" t="s">
        <v>149</v>
      </c>
      <c r="F3" s="2">
        <v>1</v>
      </c>
      <c r="G3" s="2" t="s">
        <v>23</v>
      </c>
      <c r="H3" s="3">
        <v>67.180000000000007</v>
      </c>
      <c r="I3" s="3"/>
      <c r="J3" s="3">
        <f>Table2[[#This Row],['#—TOTAL]]*Table2[[#This Row],[$/UNIT]]</f>
        <v>67.180000000000007</v>
      </c>
      <c r="K3" s="2" t="s">
        <v>5</v>
      </c>
      <c r="L3" s="2" t="s">
        <v>24</v>
      </c>
      <c r="M3" s="12" t="s">
        <v>150</v>
      </c>
      <c r="N3" s="23" t="s">
        <v>151</v>
      </c>
      <c r="O3" s="7"/>
    </row>
    <row r="4" spans="1:15">
      <c r="A4" s="28" t="s">
        <v>264</v>
      </c>
      <c r="B4" s="8" t="s">
        <v>146</v>
      </c>
      <c r="C4" s="8" t="s">
        <v>152</v>
      </c>
      <c r="D4" s="8" t="s">
        <v>148</v>
      </c>
      <c r="E4" s="8" t="s">
        <v>153</v>
      </c>
      <c r="F4" s="2">
        <v>1</v>
      </c>
      <c r="G4" s="2" t="s">
        <v>23</v>
      </c>
      <c r="H4" s="3">
        <v>42.31</v>
      </c>
      <c r="I4" s="3"/>
      <c r="J4" s="3">
        <f>Table2[[#This Row],['#—TOTAL]]*Table2[[#This Row],[$/UNIT]]</f>
        <v>42.31</v>
      </c>
      <c r="K4" s="2" t="s">
        <v>5</v>
      </c>
      <c r="L4" s="2" t="s">
        <v>24</v>
      </c>
      <c r="M4" s="12" t="s">
        <v>150</v>
      </c>
      <c r="N4" s="23" t="s">
        <v>154</v>
      </c>
      <c r="O4" s="7"/>
    </row>
    <row r="5" spans="1:15">
      <c r="A5" s="28" t="s">
        <v>265</v>
      </c>
      <c r="B5" s="8" t="s">
        <v>155</v>
      </c>
      <c r="C5" s="8" t="s">
        <v>156</v>
      </c>
      <c r="D5" s="8" t="s">
        <v>21</v>
      </c>
      <c r="E5" s="8" t="s">
        <v>157</v>
      </c>
      <c r="F5" s="2">
        <v>1</v>
      </c>
      <c r="G5" s="2" t="s">
        <v>23</v>
      </c>
      <c r="H5" s="3">
        <v>30.12</v>
      </c>
      <c r="I5" s="3"/>
      <c r="J5" s="3">
        <f>Table2[[#This Row],['#—TOTAL]]*Table2[[#This Row],[$/UNIT]]</f>
        <v>30.12</v>
      </c>
      <c r="K5" s="2" t="s">
        <v>5</v>
      </c>
      <c r="L5" s="2" t="s">
        <v>24</v>
      </c>
      <c r="M5" s="12" t="s">
        <v>158</v>
      </c>
      <c r="N5" s="23" t="s">
        <v>159</v>
      </c>
      <c r="O5" s="7"/>
    </row>
    <row r="6" spans="1:15">
      <c r="A6" s="28" t="s">
        <v>266</v>
      </c>
      <c r="B6" s="8"/>
      <c r="C6" s="8"/>
      <c r="D6" s="8" t="s">
        <v>132</v>
      </c>
      <c r="E6" s="8"/>
      <c r="F6" s="2">
        <v>1</v>
      </c>
      <c r="G6" s="2" t="s">
        <v>23</v>
      </c>
      <c r="H6" s="3">
        <v>11.19</v>
      </c>
      <c r="I6" s="3"/>
      <c r="J6" s="3">
        <f>Table2[[#This Row],['#—TOTAL]]*Table2[[#This Row],[$/UNIT]]</f>
        <v>11.19</v>
      </c>
      <c r="K6" s="2" t="s">
        <v>2</v>
      </c>
      <c r="L6" s="2" t="s">
        <v>24</v>
      </c>
      <c r="M6" s="12">
        <v>45550</v>
      </c>
      <c r="N6" s="16"/>
      <c r="O6" s="7"/>
    </row>
    <row r="7" spans="1:15">
      <c r="A7" s="28" t="s">
        <v>267</v>
      </c>
      <c r="B7" s="8"/>
      <c r="C7" s="8"/>
      <c r="D7" s="8" t="s">
        <v>127</v>
      </c>
      <c r="E7" s="8"/>
      <c r="F7" s="2">
        <v>8</v>
      </c>
      <c r="G7" s="2" t="s">
        <v>23</v>
      </c>
      <c r="H7" s="3">
        <v>0.23</v>
      </c>
      <c r="I7" s="3"/>
      <c r="J7" s="3">
        <f>Table2[[#This Row],['#—TOTAL]]*Table2[[#This Row],[$/UNIT]]</f>
        <v>1.84</v>
      </c>
      <c r="K7" s="2" t="s">
        <v>2</v>
      </c>
      <c r="L7" s="2" t="s">
        <v>24</v>
      </c>
      <c r="M7" s="12">
        <v>45550</v>
      </c>
      <c r="N7" s="16"/>
      <c r="O7" s="7"/>
    </row>
    <row r="8" spans="1:15">
      <c r="A8" s="28" t="s">
        <v>268</v>
      </c>
      <c r="B8" s="8"/>
      <c r="C8" s="8"/>
      <c r="D8" s="8" t="s">
        <v>127</v>
      </c>
      <c r="E8" s="8"/>
      <c r="F8" s="2">
        <v>8</v>
      </c>
      <c r="G8" s="2" t="s">
        <v>23</v>
      </c>
      <c r="H8" s="3">
        <v>0.22</v>
      </c>
      <c r="I8" s="3"/>
      <c r="J8" s="3">
        <f>Table2[[#This Row],['#—TOTAL]]*Table2[[#This Row],[$/UNIT]]</f>
        <v>1.76</v>
      </c>
      <c r="K8" s="2" t="s">
        <v>2</v>
      </c>
      <c r="L8" s="2" t="s">
        <v>24</v>
      </c>
      <c r="M8" s="12">
        <v>45550</v>
      </c>
      <c r="N8" s="16"/>
      <c r="O8" s="7"/>
    </row>
    <row r="9" spans="1:15">
      <c r="A9" s="28" t="s">
        <v>269</v>
      </c>
      <c r="B9" s="8"/>
      <c r="C9" s="8"/>
      <c r="D9" s="8" t="s">
        <v>89</v>
      </c>
      <c r="E9" s="8"/>
      <c r="F9" s="2">
        <v>2</v>
      </c>
      <c r="G9" s="2" t="s">
        <v>23</v>
      </c>
      <c r="H9" s="3">
        <v>0.52</v>
      </c>
      <c r="I9" s="3"/>
      <c r="J9" s="3">
        <f>Table2[[#This Row],['#—TOTAL]]*Table2[[#This Row],[$/UNIT]]</f>
        <v>1.04</v>
      </c>
      <c r="K9" s="2" t="s">
        <v>2</v>
      </c>
      <c r="L9" s="2" t="s">
        <v>24</v>
      </c>
      <c r="M9" s="12">
        <v>45550</v>
      </c>
      <c r="N9" s="24"/>
      <c r="O9" s="7"/>
    </row>
    <row r="10" spans="1:15">
      <c r="A10" s="28" t="s">
        <v>270</v>
      </c>
      <c r="B10" s="8"/>
      <c r="C10" s="8"/>
      <c r="D10" s="8" t="s">
        <v>89</v>
      </c>
      <c r="E10" s="8"/>
      <c r="F10" s="2">
        <v>1</v>
      </c>
      <c r="G10" s="2" t="s">
        <v>23</v>
      </c>
      <c r="H10" s="3">
        <f>(9.49+(9.45*0.12))/20</f>
        <v>0.53120000000000001</v>
      </c>
      <c r="I10" s="3"/>
      <c r="J10" s="3">
        <f>Table2[[#This Row],['#—TOTAL]]*Table2[[#This Row],[$/UNIT]]</f>
        <v>0.53120000000000001</v>
      </c>
      <c r="K10" s="2" t="s">
        <v>2</v>
      </c>
      <c r="L10" s="2" t="s">
        <v>24</v>
      </c>
      <c r="M10" s="12">
        <v>45550</v>
      </c>
      <c r="N10" s="24"/>
      <c r="O10" s="7"/>
    </row>
    <row r="11" spans="1:15">
      <c r="A11" s="28" t="s">
        <v>271</v>
      </c>
      <c r="B11" s="8"/>
      <c r="C11" s="8"/>
      <c r="D11" s="8" t="s">
        <v>89</v>
      </c>
      <c r="E11" s="8"/>
      <c r="F11" s="2">
        <v>1</v>
      </c>
      <c r="G11" s="2" t="s">
        <v>23</v>
      </c>
      <c r="H11" s="3">
        <f>(15.99+(15.99*0.12))/630</f>
        <v>2.8426666666666666E-2</v>
      </c>
      <c r="I11" s="3"/>
      <c r="J11" s="3">
        <f>Table2[[#This Row],['#—TOTAL]]*Table2[[#This Row],[$/UNIT]]</f>
        <v>2.8426666666666666E-2</v>
      </c>
      <c r="K11" s="2" t="s">
        <v>2</v>
      </c>
      <c r="L11" s="2" t="s">
        <v>24</v>
      </c>
      <c r="M11" s="12">
        <v>45550</v>
      </c>
      <c r="N11" s="24"/>
      <c r="O11" s="7"/>
    </row>
    <row r="12" spans="1:15">
      <c r="A12" s="28" t="s">
        <v>272</v>
      </c>
      <c r="B12" s="8"/>
      <c r="C12" s="8"/>
      <c r="D12" s="8" t="s">
        <v>89</v>
      </c>
      <c r="E12" s="8"/>
      <c r="F12" s="2">
        <v>1</v>
      </c>
      <c r="G12" s="2" t="s">
        <v>23</v>
      </c>
      <c r="H12" s="3">
        <f>(15.99+(15.99*0.12))/630</f>
        <v>2.8426666666666666E-2</v>
      </c>
      <c r="I12" s="3"/>
      <c r="J12" s="3">
        <f>Table2[[#This Row],['#—TOTAL]]*Table2[[#This Row],[$/UNIT]]</f>
        <v>2.8426666666666666E-2</v>
      </c>
      <c r="K12" s="2" t="s">
        <v>2</v>
      </c>
      <c r="L12" s="2" t="s">
        <v>24</v>
      </c>
      <c r="M12" s="12">
        <v>45550</v>
      </c>
      <c r="N12" s="24"/>
      <c r="O12" s="7"/>
    </row>
    <row r="13" spans="1:15">
      <c r="A13" s="28" t="s">
        <v>273</v>
      </c>
      <c r="B13" s="8"/>
      <c r="C13" s="8"/>
      <c r="D13" s="8" t="s">
        <v>160</v>
      </c>
      <c r="E13" s="8"/>
      <c r="F13" s="2">
        <v>1</v>
      </c>
      <c r="G13" s="2" t="s">
        <v>23</v>
      </c>
      <c r="H13" s="3">
        <v>4.95</v>
      </c>
      <c r="I13" s="3"/>
      <c r="J13" s="3">
        <f>Table2[[#This Row],['#—TOTAL]]*Table2[[#This Row],[$/UNIT]]</f>
        <v>4.95</v>
      </c>
      <c r="K13" s="2" t="s">
        <v>5</v>
      </c>
      <c r="L13" s="2" t="s">
        <v>24</v>
      </c>
      <c r="M13" s="12">
        <v>45550</v>
      </c>
      <c r="N13" s="23" t="s">
        <v>161</v>
      </c>
      <c r="O13" s="7"/>
    </row>
    <row r="14" spans="1:15">
      <c r="A14" s="28" t="s">
        <v>274</v>
      </c>
      <c r="B14" s="8"/>
      <c r="C14" s="8"/>
      <c r="D14" s="8" t="s">
        <v>89</v>
      </c>
      <c r="E14" s="8"/>
      <c r="F14" s="2">
        <v>1</v>
      </c>
      <c r="G14" s="2" t="s">
        <v>23</v>
      </c>
      <c r="H14" s="3">
        <f>(9.99+(9.99*0.12))</f>
        <v>11.188800000000001</v>
      </c>
      <c r="I14" s="3"/>
      <c r="J14" s="3">
        <f>Table2[[#This Row],['#—TOTAL]]*Table2[[#This Row],[$/UNIT]]</f>
        <v>11.188800000000001</v>
      </c>
      <c r="K14" s="2" t="s">
        <v>2</v>
      </c>
      <c r="L14" s="2" t="s">
        <v>24</v>
      </c>
      <c r="M14" s="12">
        <v>45550</v>
      </c>
      <c r="N14" s="24"/>
      <c r="O14" s="7"/>
    </row>
    <row r="15" spans="1:15">
      <c r="A15" s="28" t="s">
        <v>275</v>
      </c>
      <c r="B15" s="8"/>
      <c r="C15" s="8"/>
      <c r="D15" s="8" t="s">
        <v>132</v>
      </c>
      <c r="E15" s="8"/>
      <c r="F15" s="2">
        <v>200</v>
      </c>
      <c r="G15" s="2" t="s">
        <v>137</v>
      </c>
      <c r="H15" s="3">
        <v>0.03</v>
      </c>
      <c r="I15" s="3"/>
      <c r="J15" s="3">
        <f>Table2[[#This Row],['#—TOTAL]]*Table2[[#This Row],[$/UNIT]]</f>
        <v>6</v>
      </c>
      <c r="K15" s="2" t="s">
        <v>2</v>
      </c>
      <c r="L15" s="2" t="s">
        <v>24</v>
      </c>
      <c r="M15" s="12">
        <v>45550</v>
      </c>
      <c r="N15" s="16"/>
      <c r="O15" s="7" t="s">
        <v>262</v>
      </c>
    </row>
  </sheetData>
  <phoneticPr fontId="3" type="noConversion"/>
  <dataValidations count="3">
    <dataValidation type="list" allowBlank="1" showInputMessage="1" showErrorMessage="1" sqref="L3:L15" xr:uid="{9D92C514-EF0F-8948-BA66-81EA30D29D80}">
      <formula1>Y_N</formula1>
    </dataValidation>
    <dataValidation type="list" allowBlank="1" showInputMessage="1" showErrorMessage="1" sqref="K3:K15" xr:uid="{286CBE13-9850-3844-9048-0EF392BAE83B}">
      <formula1>Payees</formula1>
    </dataValidation>
    <dataValidation type="list" allowBlank="1" showInputMessage="1" showErrorMessage="1" sqref="G3:G15" xr:uid="{696D8043-A873-484E-955A-A6D3952DA2A1}">
      <formula1>Unit_Options</formula1>
    </dataValidation>
  </dataValidations>
  <hyperlinks>
    <hyperlink ref="N3" r:id="rId1" xr:uid="{ABAA9071-F6E1-2843-B5C2-02B04E155A88}"/>
    <hyperlink ref="N4" r:id="rId2" xr:uid="{839D9EA3-4F55-5D4F-90DB-7FFA75B132BA}"/>
    <hyperlink ref="N5" r:id="rId3" xr:uid="{C75F8A47-88B3-F846-A99D-55CA02501560}"/>
    <hyperlink ref="N13" r:id="rId4" xr:uid="{FBA50EE4-CF82-47D9-B214-80C1E53DEFA2}"/>
    <hyperlink ref="A1" location="'Table of Contents'!A1" display="Return to Table of Contents" xr:uid="{92843E6F-EEB2-48BC-9125-D48A1092B85E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902C-34D1-C14E-858E-DD1994BD5016}">
  <dimension ref="A1:O9"/>
  <sheetViews>
    <sheetView zoomScale="85" zoomScaleNormal="85" workbookViewId="0">
      <selection sqref="A1:B1"/>
    </sheetView>
  </sheetViews>
  <sheetFormatPr defaultColWidth="10.69921875" defaultRowHeight="15.6"/>
  <cols>
    <col min="1" max="1" width="24" style="10" bestFit="1" customWidth="1"/>
    <col min="2" max="2" width="17.09765625" style="10" bestFit="1" customWidth="1"/>
    <col min="3" max="3" width="19" style="10" customWidth="1"/>
    <col min="4" max="4" width="13.69921875" style="10" customWidth="1"/>
    <col min="5" max="5" width="13.59765625" style="10" bestFit="1" customWidth="1"/>
    <col min="6" max="6" width="10.3984375" style="10" bestFit="1" customWidth="1"/>
    <col min="7" max="7" width="7.8984375" style="10" bestFit="1" customWidth="1"/>
    <col min="8" max="8" width="7.69921875" style="10" bestFit="1" customWidth="1"/>
    <col min="9" max="9" width="13.69921875" style="10" bestFit="1" customWidth="1"/>
    <col min="10" max="10" width="10.19921875" style="10" bestFit="1" customWidth="1"/>
    <col min="11" max="11" width="7.3984375" style="10" bestFit="1" customWidth="1"/>
    <col min="12" max="12" width="26.09765625" style="10" bestFit="1" customWidth="1"/>
    <col min="13" max="13" width="12.69921875" style="10" bestFit="1" customWidth="1"/>
    <col min="14" max="14" width="4.8984375" style="10" bestFit="1" customWidth="1"/>
    <col min="15" max="15" width="21.5" style="10" bestFit="1" customWidth="1"/>
    <col min="16" max="16384" width="10.69921875" style="10"/>
  </cols>
  <sheetData>
    <row r="1" spans="1:15">
      <c r="A1" s="103" t="s">
        <v>309</v>
      </c>
      <c r="B1" s="103"/>
    </row>
    <row r="2" spans="1:15">
      <c r="A2" s="1" t="s">
        <v>225</v>
      </c>
      <c r="B2" s="1" t="s">
        <v>226</v>
      </c>
      <c r="C2" s="1" t="s">
        <v>227</v>
      </c>
      <c r="D2" s="1" t="s">
        <v>228</v>
      </c>
      <c r="E2" s="1" t="s">
        <v>229</v>
      </c>
      <c r="F2" s="1" t="s">
        <v>230</v>
      </c>
      <c r="G2" s="1" t="s">
        <v>231</v>
      </c>
      <c r="H2" s="1" t="s">
        <v>232</v>
      </c>
      <c r="I2" s="1" t="s">
        <v>224</v>
      </c>
      <c r="J2" s="1" t="s">
        <v>223</v>
      </c>
      <c r="K2" s="1" t="s">
        <v>221</v>
      </c>
      <c r="L2" s="1" t="s">
        <v>220</v>
      </c>
      <c r="M2" s="1" t="s">
        <v>222</v>
      </c>
      <c r="N2" s="1" t="s">
        <v>17</v>
      </c>
      <c r="O2" s="1" t="s">
        <v>276</v>
      </c>
    </row>
    <row r="3" spans="1:15">
      <c r="A3" s="22" t="s">
        <v>275</v>
      </c>
      <c r="B3" s="8"/>
      <c r="C3" s="8"/>
      <c r="D3" s="8" t="s">
        <v>132</v>
      </c>
      <c r="E3" s="8"/>
      <c r="F3" s="2">
        <v>200</v>
      </c>
      <c r="G3" s="2" t="s">
        <v>137</v>
      </c>
      <c r="H3" s="3">
        <v>0.03</v>
      </c>
      <c r="I3" s="3"/>
      <c r="J3" s="3">
        <f>Table14[[#This Row],['#—TOTAL]]*Table14[[#This Row],[$/UNIT]]+Table14[[#This Row],[$—SHIPPING]]</f>
        <v>67.180000000000007</v>
      </c>
      <c r="K3" s="2" t="s">
        <v>2</v>
      </c>
      <c r="L3" s="2" t="s">
        <v>24</v>
      </c>
      <c r="M3" s="12">
        <v>45550</v>
      </c>
      <c r="N3" s="7"/>
      <c r="O3" s="7" t="s">
        <v>162</v>
      </c>
    </row>
    <row r="4" spans="1:15">
      <c r="A4" s="22" t="s">
        <v>277</v>
      </c>
      <c r="B4" s="8"/>
      <c r="C4" s="8"/>
      <c r="D4" s="8" t="s">
        <v>127</v>
      </c>
      <c r="E4" s="8"/>
      <c r="F4" s="2">
        <v>1</v>
      </c>
      <c r="G4" s="2" t="s">
        <v>23</v>
      </c>
      <c r="H4" s="3">
        <v>1.78</v>
      </c>
      <c r="I4" s="3">
        <v>3.72</v>
      </c>
      <c r="J4" s="3">
        <f>Table16[[#This Row],[$—SHIPPING]]+Table16[[#This Row],[$/UNIT]]*Table16[[#This Row],['#—TOTAL]]</f>
        <v>5.5</v>
      </c>
      <c r="K4" s="2" t="s">
        <v>2</v>
      </c>
      <c r="L4" s="2" t="s">
        <v>24</v>
      </c>
      <c r="M4" s="12">
        <v>45550</v>
      </c>
      <c r="N4" s="7"/>
      <c r="O4" s="7"/>
    </row>
    <row r="5" spans="1:15">
      <c r="A5" s="22" t="s">
        <v>278</v>
      </c>
      <c r="B5" s="8"/>
      <c r="C5" s="8"/>
      <c r="D5" s="8" t="s">
        <v>127</v>
      </c>
      <c r="E5" s="8"/>
      <c r="F5" s="2">
        <v>2</v>
      </c>
      <c r="G5" s="2" t="s">
        <v>23</v>
      </c>
      <c r="H5" s="3">
        <v>2.71</v>
      </c>
      <c r="I5" s="3"/>
      <c r="J5" s="3">
        <f>Table16[[#This Row],[$/UNIT]]*Table16[[#This Row],['#—TOTAL]]</f>
        <v>5.42</v>
      </c>
      <c r="K5" s="2" t="s">
        <v>2</v>
      </c>
      <c r="L5" s="2" t="s">
        <v>24</v>
      </c>
      <c r="M5" s="12">
        <v>45550</v>
      </c>
      <c r="N5" s="7"/>
      <c r="O5" s="7"/>
    </row>
    <row r="6" spans="1:15">
      <c r="A6" s="22" t="s">
        <v>279</v>
      </c>
      <c r="B6" s="8"/>
      <c r="C6" s="8"/>
      <c r="D6" s="8" t="s">
        <v>89</v>
      </c>
      <c r="E6" s="8"/>
      <c r="F6" s="9">
        <v>1</v>
      </c>
      <c r="G6" s="2" t="s">
        <v>23</v>
      </c>
      <c r="H6" s="3">
        <f>3.92/10</f>
        <v>0.39200000000000002</v>
      </c>
      <c r="I6" s="3"/>
      <c r="J6" s="3">
        <f>Table16[[#This Row],[$—SHIPPING]]+Table16[[#This Row],[$/UNIT]]*Table16[[#This Row],['#—TOTAL]]</f>
        <v>0.39200000000000002</v>
      </c>
      <c r="K6" s="2" t="s">
        <v>2</v>
      </c>
      <c r="L6" s="8" t="s">
        <v>24</v>
      </c>
      <c r="M6" s="12"/>
      <c r="N6" s="7"/>
      <c r="O6" s="7"/>
    </row>
    <row r="7" spans="1:15">
      <c r="A7" s="22" t="s">
        <v>280</v>
      </c>
      <c r="B7" s="8"/>
      <c r="C7" s="8"/>
      <c r="D7" s="8" t="s">
        <v>89</v>
      </c>
      <c r="E7" s="8"/>
      <c r="F7" s="9">
        <v>2</v>
      </c>
      <c r="G7" s="2" t="s">
        <v>23</v>
      </c>
      <c r="H7" s="3">
        <f>2.92/10</f>
        <v>0.29199999999999998</v>
      </c>
      <c r="I7" s="3"/>
      <c r="J7" s="3">
        <f>Table16[[#This Row],[$—SHIPPING]]+Table16[[#This Row],[$/UNIT]]*Table16[[#This Row],['#—TOTAL]]</f>
        <v>0.58399999999999996</v>
      </c>
      <c r="K7" s="2" t="s">
        <v>2</v>
      </c>
      <c r="L7" s="8" t="s">
        <v>24</v>
      </c>
      <c r="M7" s="12"/>
      <c r="N7" s="7"/>
      <c r="O7" s="7"/>
    </row>
    <row r="8" spans="1:15">
      <c r="B8" s="13"/>
      <c r="C8" s="13"/>
      <c r="D8" s="13"/>
      <c r="E8" s="13"/>
      <c r="H8" s="14"/>
      <c r="I8" s="14"/>
      <c r="J8" s="14"/>
      <c r="M8" s="15"/>
      <c r="N8" s="13"/>
      <c r="O8" s="13"/>
    </row>
    <row r="9" spans="1:15">
      <c r="B9" s="13"/>
      <c r="C9" s="13"/>
      <c r="D9" s="13"/>
      <c r="E9" s="13"/>
      <c r="H9" s="14"/>
      <c r="I9" s="14"/>
      <c r="J9" s="14"/>
      <c r="M9" s="15"/>
      <c r="N9" s="13"/>
      <c r="O9" s="13"/>
    </row>
  </sheetData>
  <mergeCells count="1">
    <mergeCell ref="A1:B1"/>
  </mergeCells>
  <dataValidations count="7">
    <dataValidation type="list" allowBlank="1" showInputMessage="1" showErrorMessage="1" sqref="G3" xr:uid="{6556D8FC-3606-458C-A795-785D2AB762EA}">
      <formula1>"Each, Grams, ft^2"</formula1>
    </dataValidation>
    <dataValidation type="list" allowBlank="1" showInputMessage="1" showErrorMessage="1" sqref="G4:G9" xr:uid="{5AA03DB1-7E1F-422A-A2FE-5EFAE0102E90}">
      <formula1>"Each, Grams, cm^2"</formula1>
    </dataValidation>
    <dataValidation type="list" allowBlank="1" showInputMessage="1" showErrorMessage="1" sqref="L8:L9" xr:uid="{9F52B375-25A9-4B94-93FF-F5116D5C1959}">
      <formula1>"Yes, No"</formula1>
    </dataValidation>
    <dataValidation type="list" allowBlank="1" showInputMessage="1" showErrorMessage="1" sqref="K8:K9" xr:uid="{41E30192-B867-4572-BC64-5D6A91462067}">
      <formula1>"Sebastien, Eric, Kayleb, Braden"</formula1>
    </dataValidation>
    <dataValidation type="list" allowBlank="1" showInputMessage="1" showErrorMessage="1" sqref="K3:K7" xr:uid="{83E52B88-C654-4672-8260-C7D1AFCD3C35}">
      <formula1>Payees</formula1>
    </dataValidation>
    <dataValidation type="list" allowBlank="1" showInputMessage="1" showErrorMessage="1" sqref="H3:H7" xr:uid="{1A6C716E-3BA9-483C-88B7-9DA920E2A209}">
      <formula1>Unit_Options</formula1>
    </dataValidation>
    <dataValidation type="list" allowBlank="1" showInputMessage="1" showErrorMessage="1" sqref="L3:L7" xr:uid="{BC6AF1C3-1398-46B1-8780-CE689364A966}">
      <formula1>Y_N</formula1>
    </dataValidation>
  </dataValidations>
  <hyperlinks>
    <hyperlink ref="A1" location="'Table of Contents'!A1" display="Return to Table of Contents" xr:uid="{F6D1A00E-0C5E-4DE6-9F79-8589D1DEB302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09C9-3D9C-7C4D-AD74-B836445890A8}">
  <dimension ref="A1:O19"/>
  <sheetViews>
    <sheetView zoomScale="85" zoomScaleNormal="85" workbookViewId="0">
      <selection activeCell="F63" sqref="F63"/>
    </sheetView>
  </sheetViews>
  <sheetFormatPr defaultColWidth="48.59765625" defaultRowHeight="15.6"/>
  <cols>
    <col min="1" max="1" width="33.59765625" style="31" bestFit="1" customWidth="1"/>
    <col min="2" max="2" width="17.09765625" style="10" bestFit="1" customWidth="1"/>
    <col min="3" max="3" width="20.5" style="10" bestFit="1" customWidth="1"/>
    <col min="4" max="4" width="12.59765625" style="10" customWidth="1"/>
    <col min="5" max="5" width="13.59765625" style="10" bestFit="1" customWidth="1"/>
    <col min="6" max="6" width="10.3984375" style="10" bestFit="1" customWidth="1"/>
    <col min="7" max="7" width="7.8984375" style="10" bestFit="1" customWidth="1"/>
    <col min="8" max="8" width="7.69921875" style="10" bestFit="1" customWidth="1"/>
    <col min="9" max="9" width="13.69921875" style="10" bestFit="1" customWidth="1"/>
    <col min="10" max="10" width="10.19921875" style="10" bestFit="1" customWidth="1"/>
    <col min="11" max="11" width="7.3984375" style="10" bestFit="1" customWidth="1"/>
    <col min="12" max="12" width="26.09765625" style="10" bestFit="1" customWidth="1"/>
    <col min="13" max="13" width="12.69921875" style="10" bestFit="1" customWidth="1"/>
    <col min="14" max="14" width="98.3984375" style="10" bestFit="1" customWidth="1"/>
    <col min="15" max="15" width="60.09765625" style="10" bestFit="1" customWidth="1"/>
    <col min="16" max="16384" width="48.59765625" style="10"/>
  </cols>
  <sheetData>
    <row r="1" spans="1:15">
      <c r="A1" s="55" t="s">
        <v>309</v>
      </c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1" t="s">
        <v>276</v>
      </c>
    </row>
    <row r="3" spans="1:15">
      <c r="A3" s="22" t="s">
        <v>281</v>
      </c>
      <c r="B3" s="8"/>
      <c r="C3" s="8"/>
      <c r="D3" s="8" t="s">
        <v>132</v>
      </c>
      <c r="E3" s="8"/>
      <c r="F3" s="2">
        <v>1</v>
      </c>
      <c r="G3" s="2" t="s">
        <v>23</v>
      </c>
      <c r="H3" s="3">
        <v>27.14</v>
      </c>
      <c r="I3" s="2"/>
      <c r="J3" s="3">
        <f>Table17[[#This Row],[$/UNIT]]*Table17[[#This Row],['#—TOTAL]]</f>
        <v>27.14</v>
      </c>
      <c r="K3" s="2" t="s">
        <v>4</v>
      </c>
      <c r="L3" s="2" t="s">
        <v>24</v>
      </c>
      <c r="M3" s="12">
        <v>45332</v>
      </c>
      <c r="N3" s="17" t="s">
        <v>163</v>
      </c>
      <c r="O3" s="7"/>
    </row>
    <row r="4" spans="1:15">
      <c r="A4" s="22" t="s">
        <v>282</v>
      </c>
      <c r="B4" s="8" t="s">
        <v>164</v>
      </c>
      <c r="C4" s="8" t="s">
        <v>165</v>
      </c>
      <c r="D4" s="8" t="s">
        <v>132</v>
      </c>
      <c r="E4" s="8"/>
      <c r="F4" s="9">
        <v>1</v>
      </c>
      <c r="G4" s="2" t="s">
        <v>23</v>
      </c>
      <c r="H4" s="3">
        <v>18.52</v>
      </c>
      <c r="I4" s="2"/>
      <c r="J4" s="3">
        <f>Table17[[#This Row],[$/UNIT]]*Table17[[#This Row],['#—TOTAL]]</f>
        <v>18.52</v>
      </c>
      <c r="K4" s="2" t="s">
        <v>4</v>
      </c>
      <c r="L4" s="2" t="s">
        <v>24</v>
      </c>
      <c r="M4" s="12">
        <v>45333</v>
      </c>
      <c r="N4" s="23" t="s">
        <v>166</v>
      </c>
      <c r="O4" s="1"/>
    </row>
    <row r="5" spans="1:15">
      <c r="A5" s="22" t="s">
        <v>283</v>
      </c>
      <c r="B5" s="8" t="s">
        <v>167</v>
      </c>
      <c r="C5" s="8" t="s">
        <v>168</v>
      </c>
      <c r="D5" s="8" t="s">
        <v>169</v>
      </c>
      <c r="E5" s="8"/>
      <c r="F5" s="9">
        <v>2</v>
      </c>
      <c r="G5" s="2" t="s">
        <v>23</v>
      </c>
      <c r="H5" s="3">
        <v>4.5</v>
      </c>
      <c r="I5" s="2"/>
      <c r="J5" s="3">
        <f>Table17[[#This Row],[$/UNIT]]*Table17[[#This Row],['#—TOTAL]]</f>
        <v>9</v>
      </c>
      <c r="K5" s="2" t="s">
        <v>4</v>
      </c>
      <c r="L5" s="2" t="s">
        <v>24</v>
      </c>
      <c r="M5" s="12">
        <v>42005</v>
      </c>
      <c r="N5" s="24"/>
      <c r="O5" s="1"/>
    </row>
    <row r="6" spans="1:15">
      <c r="A6" s="22" t="s">
        <v>284</v>
      </c>
      <c r="B6" s="8"/>
      <c r="C6" s="8"/>
      <c r="D6" s="8" t="s">
        <v>132</v>
      </c>
      <c r="E6" s="8"/>
      <c r="F6" s="9">
        <v>1</v>
      </c>
      <c r="G6" s="2" t="s">
        <v>23</v>
      </c>
      <c r="H6" s="3">
        <v>24.57</v>
      </c>
      <c r="I6" s="2"/>
      <c r="J6" s="3">
        <f>Table17[[#This Row],[$/UNIT]]*Table17[[#This Row],['#—TOTAL]]</f>
        <v>24.57</v>
      </c>
      <c r="K6" s="2" t="s">
        <v>4</v>
      </c>
      <c r="L6" s="2" t="s">
        <v>24</v>
      </c>
      <c r="M6" s="12">
        <v>45553</v>
      </c>
      <c r="N6" s="23" t="s">
        <v>170</v>
      </c>
      <c r="O6" s="1"/>
    </row>
    <row r="7" spans="1:15">
      <c r="A7" s="22" t="s">
        <v>285</v>
      </c>
      <c r="B7" s="8"/>
      <c r="C7" s="8"/>
      <c r="D7" s="8" t="s">
        <v>132</v>
      </c>
      <c r="E7" s="8"/>
      <c r="F7" s="9">
        <v>1</v>
      </c>
      <c r="G7" s="2" t="s">
        <v>23</v>
      </c>
      <c r="H7" s="3">
        <v>16.79</v>
      </c>
      <c r="I7" s="2"/>
      <c r="J7" s="3">
        <f>Table17[[#This Row],[$/UNIT]]*Table17[[#This Row],['#—TOTAL]]</f>
        <v>16.79</v>
      </c>
      <c r="K7" s="2" t="s">
        <v>4</v>
      </c>
      <c r="L7" s="2" t="s">
        <v>24</v>
      </c>
      <c r="M7" s="12">
        <v>45555</v>
      </c>
      <c r="N7" s="23" t="s">
        <v>171</v>
      </c>
      <c r="O7" s="7" t="s">
        <v>172</v>
      </c>
    </row>
    <row r="8" spans="1:15">
      <c r="A8" s="22" t="s">
        <v>286</v>
      </c>
      <c r="B8" s="8"/>
      <c r="C8" s="8"/>
      <c r="D8" s="8" t="s">
        <v>132</v>
      </c>
      <c r="E8" s="8"/>
      <c r="F8" s="9">
        <v>0.33333333333333331</v>
      </c>
      <c r="G8" s="2" t="s">
        <v>23</v>
      </c>
      <c r="H8" s="3">
        <v>21.84</v>
      </c>
      <c r="I8" s="2"/>
      <c r="J8" s="3">
        <f>Table17[[#This Row],[$/UNIT]]*Table17[[#This Row],['#—TOTAL]]</f>
        <v>7.2799999999999994</v>
      </c>
      <c r="K8" s="2" t="s">
        <v>4</v>
      </c>
      <c r="L8" s="2" t="s">
        <v>24</v>
      </c>
      <c r="M8" s="12">
        <v>45551</v>
      </c>
      <c r="N8" s="23" t="s">
        <v>173</v>
      </c>
      <c r="O8" s="7" t="s">
        <v>174</v>
      </c>
    </row>
    <row r="9" spans="1:15">
      <c r="A9" s="22" t="s">
        <v>287</v>
      </c>
      <c r="B9" s="8" t="s">
        <v>167</v>
      </c>
      <c r="C9" s="8"/>
      <c r="D9" s="8" t="s">
        <v>169</v>
      </c>
      <c r="E9" s="8"/>
      <c r="F9" s="9">
        <v>1</v>
      </c>
      <c r="G9" s="2" t="s">
        <v>23</v>
      </c>
      <c r="H9" s="3">
        <v>12</v>
      </c>
      <c r="I9" s="2"/>
      <c r="J9" s="3">
        <f>Table17[[#This Row],[$/UNIT]]*Table17[[#This Row],['#—TOTAL]]</f>
        <v>12</v>
      </c>
      <c r="K9" s="2" t="s">
        <v>4</v>
      </c>
      <c r="L9" s="2" t="s">
        <v>24</v>
      </c>
      <c r="M9" s="12"/>
      <c r="N9" s="24"/>
      <c r="O9" s="1"/>
    </row>
    <row r="10" spans="1:15">
      <c r="A10" s="22" t="s">
        <v>288</v>
      </c>
      <c r="B10" s="8" t="s">
        <v>167</v>
      </c>
      <c r="C10" s="8"/>
      <c r="D10" s="8" t="s">
        <v>132</v>
      </c>
      <c r="E10" s="8"/>
      <c r="F10" s="9">
        <v>2</v>
      </c>
      <c r="G10" s="2" t="s">
        <v>23</v>
      </c>
      <c r="H10" s="3">
        <v>7</v>
      </c>
      <c r="I10" s="2"/>
      <c r="J10" s="3">
        <f>Table17[[#This Row],[$/UNIT]]*Table17[[#This Row],['#—TOTAL]]</f>
        <v>14</v>
      </c>
      <c r="K10" s="2" t="s">
        <v>4</v>
      </c>
      <c r="L10" s="2" t="s">
        <v>24</v>
      </c>
      <c r="M10" s="12">
        <v>45562</v>
      </c>
      <c r="N10" s="23" t="s">
        <v>175</v>
      </c>
      <c r="O10" s="1"/>
    </row>
    <row r="11" spans="1:15">
      <c r="A11" s="22" t="s">
        <v>279</v>
      </c>
      <c r="B11" s="8"/>
      <c r="C11" s="8"/>
      <c r="D11" s="8" t="s">
        <v>89</v>
      </c>
      <c r="E11" s="8"/>
      <c r="F11" s="9">
        <v>1</v>
      </c>
      <c r="G11" s="2" t="s">
        <v>23</v>
      </c>
      <c r="H11" s="3">
        <v>0.39200000000000002</v>
      </c>
      <c r="I11" s="3"/>
      <c r="J11" s="3">
        <f>Table17[[#This Row],[$/UNIT]]*Table17[[#This Row],['#—TOTAL]]</f>
        <v>0.39200000000000002</v>
      </c>
      <c r="K11" s="2" t="s">
        <v>2</v>
      </c>
      <c r="L11" s="8" t="s">
        <v>24</v>
      </c>
      <c r="M11" s="12"/>
      <c r="N11" s="16"/>
      <c r="O11" s="7"/>
    </row>
    <row r="12" spans="1:15">
      <c r="A12" s="22" t="s">
        <v>280</v>
      </c>
      <c r="B12" s="8"/>
      <c r="C12" s="8"/>
      <c r="D12" s="8" t="s">
        <v>89</v>
      </c>
      <c r="E12" s="8"/>
      <c r="F12" s="9">
        <v>2</v>
      </c>
      <c r="G12" s="2" t="s">
        <v>23</v>
      </c>
      <c r="H12" s="3">
        <v>0.29199999999999998</v>
      </c>
      <c r="I12" s="3"/>
      <c r="J12" s="3">
        <f>Table17[[#This Row],[$/UNIT]]*Table17[[#This Row],['#—TOTAL]]</f>
        <v>0.58399999999999996</v>
      </c>
      <c r="K12" s="2" t="s">
        <v>2</v>
      </c>
      <c r="L12" s="8" t="s">
        <v>24</v>
      </c>
      <c r="M12" s="12"/>
      <c r="N12" s="16"/>
      <c r="O12" s="7"/>
    </row>
    <row r="13" spans="1:15">
      <c r="A13" s="22" t="s">
        <v>269</v>
      </c>
      <c r="B13" s="8"/>
      <c r="C13" s="8"/>
      <c r="D13" s="8" t="s">
        <v>89</v>
      </c>
      <c r="E13" s="8"/>
      <c r="F13" s="2">
        <v>2</v>
      </c>
      <c r="G13" s="2" t="s">
        <v>23</v>
      </c>
      <c r="H13" s="3">
        <v>0.52</v>
      </c>
      <c r="I13" s="3"/>
      <c r="J13" s="3">
        <f>Table17[[#This Row],['#—TOTAL]]*Table17[[#This Row],[$/UNIT]]</f>
        <v>1.04</v>
      </c>
      <c r="K13" s="2" t="s">
        <v>2</v>
      </c>
      <c r="L13" s="2" t="s">
        <v>24</v>
      </c>
      <c r="M13" s="12">
        <v>45550</v>
      </c>
      <c r="N13" s="24"/>
      <c r="O13" s="1"/>
    </row>
    <row r="14" spans="1:15">
      <c r="A14" s="22" t="s">
        <v>271</v>
      </c>
      <c r="B14" s="8"/>
      <c r="C14" s="8"/>
      <c r="D14" s="8" t="s">
        <v>89</v>
      </c>
      <c r="E14" s="8"/>
      <c r="F14" s="2">
        <v>1</v>
      </c>
      <c r="G14" s="2" t="s">
        <v>23</v>
      </c>
      <c r="H14" s="3">
        <f>(15.99+(15.99*0.12))/630</f>
        <v>2.8426666666666666E-2</v>
      </c>
      <c r="I14" s="3"/>
      <c r="J14" s="3">
        <f>Table2[[#This Row],['#—TOTAL]]*Table2[[#This Row],[$/UNIT]]</f>
        <v>11.188800000000001</v>
      </c>
      <c r="K14" s="2" t="s">
        <v>2</v>
      </c>
      <c r="L14" s="2" t="s">
        <v>24</v>
      </c>
      <c r="M14" s="12">
        <v>45550</v>
      </c>
      <c r="N14" s="24"/>
      <c r="O14" s="1"/>
    </row>
    <row r="15" spans="1:15">
      <c r="B15" s="32"/>
      <c r="C15" s="32"/>
      <c r="D15" s="32"/>
      <c r="E15" s="32"/>
      <c r="F15" s="33"/>
      <c r="G15" s="34"/>
      <c r="H15" s="35"/>
      <c r="I15" s="34"/>
      <c r="J15" s="34"/>
      <c r="K15" s="34"/>
      <c r="L15" s="34"/>
      <c r="M15" s="36"/>
    </row>
    <row r="16" spans="1:15">
      <c r="B16" s="32"/>
      <c r="C16" s="32"/>
      <c r="D16" s="32"/>
      <c r="E16" s="32"/>
      <c r="F16" s="33"/>
      <c r="G16" s="34"/>
      <c r="H16" s="35"/>
      <c r="I16" s="34"/>
      <c r="J16" s="34"/>
      <c r="K16" s="34"/>
      <c r="L16" s="34"/>
      <c r="M16" s="36"/>
    </row>
    <row r="17" spans="13:13">
      <c r="M17" s="15"/>
    </row>
    <row r="18" spans="13:13">
      <c r="M18" s="15"/>
    </row>
    <row r="19" spans="13:13">
      <c r="M19" s="15"/>
    </row>
  </sheetData>
  <dataValidations count="3">
    <dataValidation type="list" allowBlank="1" showInputMessage="1" showErrorMessage="1" sqref="L3:L14" xr:uid="{5E31BB86-8DAD-5E4D-B330-21A78634E694}">
      <formula1>Y_N</formula1>
    </dataValidation>
    <dataValidation type="list" allowBlank="1" showInputMessage="1" showErrorMessage="1" sqref="K3:K15" xr:uid="{A166A693-9432-4B90-9DF5-ADFF37927657}">
      <formula1>Payees</formula1>
    </dataValidation>
    <dataValidation type="list" allowBlank="1" showInputMessage="1" showErrorMessage="1" sqref="G3:G14" xr:uid="{CCCFCDC3-9BEE-4ACD-95DE-DBEDA9AE547E}">
      <formula1>Unit_Options</formula1>
    </dataValidation>
  </dataValidations>
  <hyperlinks>
    <hyperlink ref="N3" r:id="rId1" xr:uid="{5B95C7E7-6DDA-4931-9D8E-6DF6F51B605A}"/>
    <hyperlink ref="N4" r:id="rId2" xr:uid="{6DB9A614-B074-4C46-AF59-E4C423168A71}"/>
    <hyperlink ref="N6" r:id="rId3" xr:uid="{E8E1CB32-CF3E-4DE8-8294-EEBA79552E2D}"/>
    <hyperlink ref="N7" r:id="rId4" xr:uid="{DDF2B9A7-B497-4C12-8CC0-E2CE6457BD87}"/>
    <hyperlink ref="N8" r:id="rId5" xr:uid="{770C1EEE-8A2B-4AA7-A69F-E2DFAEBCFCDE}"/>
    <hyperlink ref="N10" r:id="rId6" xr:uid="{D316715B-F2EF-42FD-8274-5677E6108D2B}"/>
    <hyperlink ref="A1" location="'Table of Contents'!A1" display="Return to Table of Contents" xr:uid="{D4B05567-47D0-4F8D-8077-46449873846D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EDD2-727B-B848-BB6C-2059461C44ED}">
  <dimension ref="A1:O27"/>
  <sheetViews>
    <sheetView zoomScale="85" zoomScaleNormal="85" workbookViewId="0">
      <selection activeCell="A4" sqref="A4"/>
    </sheetView>
  </sheetViews>
  <sheetFormatPr defaultColWidth="10.69921875" defaultRowHeight="15.6"/>
  <cols>
    <col min="1" max="1" width="22.69921875" style="10" bestFit="1" customWidth="1"/>
    <col min="2" max="2" width="17.09765625" style="10" bestFit="1" customWidth="1"/>
    <col min="3" max="3" width="20.5" style="10" bestFit="1" customWidth="1"/>
    <col min="4" max="4" width="11.69921875" style="10" bestFit="1" customWidth="1"/>
    <col min="5" max="5" width="13.59765625" style="10" bestFit="1" customWidth="1"/>
    <col min="6" max="6" width="10.3984375" style="10" bestFit="1" customWidth="1"/>
    <col min="7" max="7" width="7.8984375" style="10" bestFit="1" customWidth="1"/>
    <col min="8" max="8" width="7.69921875" style="10" bestFit="1" customWidth="1"/>
    <col min="9" max="9" width="13.69921875" style="10" bestFit="1" customWidth="1"/>
    <col min="10" max="10" width="10.19921875" style="10" bestFit="1" customWidth="1"/>
    <col min="11" max="11" width="7.3984375" style="10" bestFit="1" customWidth="1"/>
    <col min="12" max="12" width="26.09765625" style="10" bestFit="1" customWidth="1"/>
    <col min="13" max="13" width="12.69921875" style="10" bestFit="1" customWidth="1"/>
    <col min="14" max="14" width="4.8984375" style="10" bestFit="1" customWidth="1"/>
    <col min="15" max="15" width="21.5" style="10" bestFit="1" customWidth="1"/>
    <col min="16" max="16384" width="10.69921875" style="10"/>
  </cols>
  <sheetData>
    <row r="1" spans="1:15">
      <c r="A1" s="103" t="s">
        <v>309</v>
      </c>
      <c r="B1" s="103"/>
    </row>
    <row r="2" spans="1:15">
      <c r="A2" s="2" t="s">
        <v>225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224</v>
      </c>
      <c r="J2" s="2" t="s">
        <v>223</v>
      </c>
      <c r="K2" s="2" t="s">
        <v>221</v>
      </c>
      <c r="L2" s="2" t="s">
        <v>220</v>
      </c>
      <c r="M2" s="2" t="s">
        <v>222</v>
      </c>
      <c r="N2" s="2" t="s">
        <v>17</v>
      </c>
      <c r="O2" s="21" t="s">
        <v>276</v>
      </c>
    </row>
    <row r="3" spans="1:15">
      <c r="A3" s="22" t="s">
        <v>275</v>
      </c>
      <c r="B3" s="8"/>
      <c r="C3" s="8"/>
      <c r="D3" s="8" t="s">
        <v>132</v>
      </c>
      <c r="E3" s="8"/>
      <c r="F3" s="2">
        <v>200</v>
      </c>
      <c r="G3" s="2" t="s">
        <v>137</v>
      </c>
      <c r="H3" s="3">
        <v>0.03</v>
      </c>
      <c r="I3" s="3"/>
      <c r="J3" s="3">
        <f>Table14[[#This Row],['#—TOTAL]]*Table14[[#This Row],[$/UNIT]]+Table14[[#This Row],[$—SHIPPING]]</f>
        <v>67.180000000000007</v>
      </c>
      <c r="K3" s="2" t="s">
        <v>2</v>
      </c>
      <c r="L3" s="2" t="s">
        <v>24</v>
      </c>
      <c r="M3" s="12">
        <v>45550</v>
      </c>
      <c r="N3" s="7"/>
      <c r="O3" s="7" t="s">
        <v>162</v>
      </c>
    </row>
    <row r="4" spans="1:15">
      <c r="A4" s="22" t="s">
        <v>290</v>
      </c>
      <c r="B4" s="8"/>
      <c r="C4" s="8"/>
      <c r="D4" s="8" t="s">
        <v>127</v>
      </c>
      <c r="E4" s="8"/>
      <c r="F4" s="2">
        <v>1</v>
      </c>
      <c r="G4" s="2" t="s">
        <v>23</v>
      </c>
      <c r="H4" s="3">
        <v>0.22</v>
      </c>
      <c r="I4" s="3">
        <v>3.12</v>
      </c>
      <c r="J4" s="3">
        <f>Table14[[#This Row],['#—TOTAL]]*Table14[[#This Row],[$/UNIT]]+Table14[[#This Row],[$—SHIPPING]]</f>
        <v>13.1</v>
      </c>
      <c r="K4" s="2" t="s">
        <v>2</v>
      </c>
      <c r="L4" s="2" t="s">
        <v>24</v>
      </c>
      <c r="M4" s="12">
        <v>45550</v>
      </c>
      <c r="N4" s="7"/>
      <c r="O4" s="7"/>
    </row>
    <row r="5" spans="1:15">
      <c r="A5" s="22" t="s">
        <v>291</v>
      </c>
      <c r="B5" s="2"/>
      <c r="C5" s="2"/>
      <c r="D5" s="2" t="s">
        <v>132</v>
      </c>
      <c r="E5" s="2"/>
      <c r="F5" s="2">
        <v>1</v>
      </c>
      <c r="G5" s="2" t="s">
        <v>23</v>
      </c>
      <c r="H5" s="3">
        <v>2</v>
      </c>
      <c r="I5" s="2"/>
      <c r="J5" s="3">
        <f>Table18[[#This Row],[$/UNIT]]*Table18[[#This Row],['#—TOTAL]]</f>
        <v>2</v>
      </c>
      <c r="K5" s="2" t="s">
        <v>2</v>
      </c>
      <c r="L5" s="2" t="s">
        <v>24</v>
      </c>
      <c r="M5" s="2"/>
      <c r="N5" s="1"/>
      <c r="O5" s="1"/>
    </row>
    <row r="6" spans="1:15">
      <c r="A6" s="22" t="s">
        <v>280</v>
      </c>
      <c r="B6" s="8"/>
      <c r="C6" s="8"/>
      <c r="D6" s="8" t="s">
        <v>89</v>
      </c>
      <c r="E6" s="8"/>
      <c r="F6" s="9">
        <v>1</v>
      </c>
      <c r="G6" s="2" t="s">
        <v>23</v>
      </c>
      <c r="H6" s="3">
        <v>0.39200000000000002</v>
      </c>
      <c r="I6" s="3"/>
      <c r="J6" s="3"/>
      <c r="K6" s="2" t="s">
        <v>2</v>
      </c>
      <c r="L6" s="8" t="s">
        <v>24</v>
      </c>
      <c r="M6" s="12"/>
      <c r="N6" s="7"/>
      <c r="O6" s="7"/>
    </row>
    <row r="7" spans="1:15">
      <c r="A7" s="22" t="s">
        <v>292</v>
      </c>
      <c r="B7" s="8"/>
      <c r="C7" s="8"/>
      <c r="D7" s="8" t="s">
        <v>89</v>
      </c>
      <c r="E7" s="8"/>
      <c r="F7" s="9">
        <v>1</v>
      </c>
      <c r="G7" s="2" t="s">
        <v>23</v>
      </c>
      <c r="H7" s="3">
        <v>0.29199999999999998</v>
      </c>
      <c r="I7" s="3"/>
      <c r="J7" s="3"/>
      <c r="K7" s="2" t="s">
        <v>2</v>
      </c>
      <c r="L7" s="8" t="s">
        <v>24</v>
      </c>
      <c r="M7" s="12"/>
      <c r="N7" s="7"/>
      <c r="O7" s="7"/>
    </row>
    <row r="9" spans="1:15">
      <c r="H9" s="14"/>
    </row>
    <row r="10" spans="1:15">
      <c r="H10" s="14"/>
    </row>
    <row r="11" spans="1:15">
      <c r="H11" s="14"/>
    </row>
    <row r="12" spans="1:15">
      <c r="H12" s="14"/>
    </row>
    <row r="13" spans="1:15">
      <c r="H13" s="14"/>
    </row>
    <row r="14" spans="1:15">
      <c r="H14" s="14"/>
    </row>
    <row r="15" spans="1:15">
      <c r="H15" s="14"/>
    </row>
    <row r="16" spans="1:15">
      <c r="H16" s="14"/>
    </row>
    <row r="17" spans="8:8">
      <c r="H17" s="14"/>
    </row>
    <row r="18" spans="8:8">
      <c r="H18" s="14"/>
    </row>
    <row r="19" spans="8:8">
      <c r="H19" s="14"/>
    </row>
    <row r="20" spans="8:8">
      <c r="H20" s="14"/>
    </row>
    <row r="21" spans="8:8">
      <c r="H21" s="14"/>
    </row>
    <row r="22" spans="8:8">
      <c r="H22" s="37"/>
    </row>
    <row r="23" spans="8:8">
      <c r="H23" s="37"/>
    </row>
    <row r="24" spans="8:8">
      <c r="H24" s="37"/>
    </row>
    <row r="25" spans="8:8">
      <c r="H25" s="37"/>
    </row>
    <row r="26" spans="8:8">
      <c r="H26" s="37"/>
    </row>
    <row r="27" spans="8:8">
      <c r="H27" s="37"/>
    </row>
  </sheetData>
  <mergeCells count="1">
    <mergeCell ref="A1:B1"/>
  </mergeCells>
  <dataValidations count="3">
    <dataValidation type="list" allowBlank="1" showInputMessage="1" showErrorMessage="1" sqref="L3:L7" xr:uid="{8E65398B-217F-4DCA-8CA6-95169BFC2F3D}">
      <formula1>Y_N</formula1>
    </dataValidation>
    <dataValidation type="list" allowBlank="1" showInputMessage="1" showErrorMessage="1" sqref="K3:K7" xr:uid="{614D01F6-CA85-416F-8382-322D00433A2D}">
      <formula1>Payees</formula1>
    </dataValidation>
    <dataValidation type="list" allowBlank="1" showInputMessage="1" showErrorMessage="1" sqref="G3:G7" xr:uid="{8A6E336C-FDA4-4F18-8AB0-BB8721315CAD}">
      <formula1>Unit_Options</formula1>
    </dataValidation>
  </dataValidations>
  <hyperlinks>
    <hyperlink ref="A1" location="'Table of Contents'!A1" display="Return to Table of Contents" xr:uid="{91E9730F-F040-4D27-AFA1-BDBFBAAE06A0}"/>
  </hyperlink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Table of Contents</vt:lpstr>
      <vt:lpstr>Main Budget</vt:lpstr>
      <vt:lpstr>Node Controller</vt:lpstr>
      <vt:lpstr>Base Station</vt:lpstr>
      <vt:lpstr>TANK—Mechanical </vt:lpstr>
      <vt:lpstr>DEVICE—Lighting</vt:lpstr>
      <vt:lpstr>DEVICE—TempHum</vt:lpstr>
      <vt:lpstr>DEVICE—AC Outlet</vt:lpstr>
      <vt:lpstr>DEVICE—Leak</vt:lpstr>
      <vt:lpstr>DEVICE—PH</vt:lpstr>
      <vt:lpstr>Supplies</vt:lpstr>
      <vt:lpstr>--data validation--</vt:lpstr>
      <vt:lpstr>Payees</vt:lpstr>
      <vt:lpstr>Unit_Options</vt:lpstr>
      <vt:lpstr>Y_N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Sebastien Julien Robitaille</dc:creator>
  <cp:keywords/>
  <dc:description/>
  <cp:lastModifiedBy>Braden Trigg</cp:lastModifiedBy>
  <cp:revision/>
  <cp:lastPrinted>2024-09-30T20:43:38Z</cp:lastPrinted>
  <dcterms:created xsi:type="dcterms:W3CDTF">2024-09-24T21:00:04Z</dcterms:created>
  <dcterms:modified xsi:type="dcterms:W3CDTF">2024-10-29T17:31:24Z</dcterms:modified>
  <cp:category/>
  <cp:contentStatus/>
</cp:coreProperties>
</file>